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720" yWindow="330" windowWidth="19440" windowHeight="9750"/>
  </bookViews>
  <sheets>
    <sheet name="Список" sheetId="1" r:id="rId1"/>
    <sheet name="Свод" sheetId="2" r:id="rId2"/>
  </sheets>
  <calcPr calcId="124519"/>
</workbook>
</file>

<file path=xl/calcChain.xml><?xml version="1.0" encoding="utf-8"?>
<calcChain xmlns="http://schemas.openxmlformats.org/spreadsheetml/2006/main">
  <c r="A31" i="2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CJ280" i="1"/>
  <c r="CI280"/>
  <c r="CH280"/>
  <c r="CG280"/>
  <c r="CF280"/>
  <c r="CE280"/>
  <c r="CD280"/>
  <c r="CC280"/>
  <c r="CB280"/>
  <c r="CA280"/>
  <c r="BZ280"/>
  <c r="BY280"/>
  <c r="BX280"/>
  <c r="BW280"/>
  <c r="BV280"/>
  <c r="BU280"/>
  <c r="BT280"/>
  <c r="BS280"/>
  <c r="BR280"/>
  <c r="BQ280"/>
  <c r="BP280"/>
  <c r="BO280"/>
  <c r="BN280"/>
  <c r="BM280"/>
  <c r="BL280"/>
  <c r="BK280"/>
  <c r="BJ280"/>
  <c r="BI280"/>
  <c r="BH280"/>
  <c r="BG280"/>
  <c r="BF280"/>
  <c r="BE280"/>
  <c r="BD280"/>
  <c r="BC280"/>
  <c r="BB280"/>
  <c r="BA280"/>
  <c r="AZ280"/>
  <c r="AY280"/>
  <c r="AX280"/>
  <c r="AW280"/>
  <c r="AV280"/>
  <c r="AU280"/>
  <c r="AT280"/>
  <c r="AS280"/>
  <c r="AR280"/>
  <c r="AQ280"/>
  <c r="AP280"/>
  <c r="AO280"/>
  <c r="AN280"/>
  <c r="AM280"/>
  <c r="AL280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F280"/>
  <c r="E280"/>
  <c r="D280"/>
  <c r="C280"/>
  <c r="B280"/>
  <c r="A280"/>
  <c r="CJ279"/>
  <c r="CI279"/>
  <c r="CH279"/>
  <c r="CG279"/>
  <c r="CF279"/>
  <c r="CE279"/>
  <c r="CD279"/>
  <c r="CC279"/>
  <c r="CB279"/>
  <c r="CA279"/>
  <c r="BZ279"/>
  <c r="BY279"/>
  <c r="BX279"/>
  <c r="BW279"/>
  <c r="BV279"/>
  <c r="BU279"/>
  <c r="BT279"/>
  <c r="BS279"/>
  <c r="BR279"/>
  <c r="BQ279"/>
  <c r="BP279"/>
  <c r="BO279"/>
  <c r="BN279"/>
  <c r="BM279"/>
  <c r="BL279"/>
  <c r="BK279"/>
  <c r="BJ279"/>
  <c r="BI279"/>
  <c r="BH279"/>
  <c r="BG279"/>
  <c r="BF279"/>
  <c r="BE279"/>
  <c r="BD279"/>
  <c r="BC279"/>
  <c r="BB279"/>
  <c r="BA279"/>
  <c r="AZ279"/>
  <c r="AY279"/>
  <c r="AX279"/>
  <c r="AW279"/>
  <c r="AV279"/>
  <c r="AU279"/>
  <c r="AT279"/>
  <c r="AS279"/>
  <c r="AR279"/>
  <c r="AQ279"/>
  <c r="AP279"/>
  <c r="AO279"/>
  <c r="AN279"/>
  <c r="AM279"/>
  <c r="AL279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F279"/>
  <c r="E279"/>
  <c r="D279"/>
  <c r="C279"/>
  <c r="B279"/>
  <c r="A279"/>
  <c r="CJ278"/>
  <c r="CI278"/>
  <c r="CH278"/>
  <c r="CG278"/>
  <c r="CF278"/>
  <c r="CE278"/>
  <c r="CD278"/>
  <c r="CC278"/>
  <c r="CB278"/>
  <c r="CA278"/>
  <c r="BZ278"/>
  <c r="BY278"/>
  <c r="BX278"/>
  <c r="BW278"/>
  <c r="BV278"/>
  <c r="BU278"/>
  <c r="BT278"/>
  <c r="BS278"/>
  <c r="BR278"/>
  <c r="BQ278"/>
  <c r="BP278"/>
  <c r="BO278"/>
  <c r="BN278"/>
  <c r="BM278"/>
  <c r="BL278"/>
  <c r="BK278"/>
  <c r="BJ278"/>
  <c r="BI278"/>
  <c r="BH278"/>
  <c r="BG278"/>
  <c r="BF278"/>
  <c r="BE278"/>
  <c r="BD278"/>
  <c r="BC278"/>
  <c r="BB278"/>
  <c r="BA278"/>
  <c r="AZ278"/>
  <c r="AY278"/>
  <c r="AX278"/>
  <c r="AW278"/>
  <c r="AV278"/>
  <c r="AU278"/>
  <c r="AT278"/>
  <c r="AS278"/>
  <c r="AR278"/>
  <c r="AQ278"/>
  <c r="AP278"/>
  <c r="AO278"/>
  <c r="AN278"/>
  <c r="AM278"/>
  <c r="AL278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F278"/>
  <c r="E278"/>
  <c r="D278"/>
  <c r="C278"/>
  <c r="B278"/>
  <c r="A278"/>
  <c r="CJ277"/>
  <c r="CI277"/>
  <c r="CH277"/>
  <c r="CG277"/>
  <c r="CF277"/>
  <c r="CE277"/>
  <c r="CD277"/>
  <c r="CC277"/>
  <c r="CB277"/>
  <c r="CA277"/>
  <c r="BZ277"/>
  <c r="BY277"/>
  <c r="BX277"/>
  <c r="BW277"/>
  <c r="BV277"/>
  <c r="BU277"/>
  <c r="BT277"/>
  <c r="BS277"/>
  <c r="BR277"/>
  <c r="BQ277"/>
  <c r="BP277"/>
  <c r="BO277"/>
  <c r="BN277"/>
  <c r="BM277"/>
  <c r="BL277"/>
  <c r="BK277"/>
  <c r="BJ277"/>
  <c r="BI277"/>
  <c r="BH277"/>
  <c r="BG277"/>
  <c r="BF277"/>
  <c r="BE277"/>
  <c r="BD277"/>
  <c r="BC277"/>
  <c r="BB277"/>
  <c r="BA277"/>
  <c r="AZ277"/>
  <c r="AY277"/>
  <c r="AX277"/>
  <c r="AW277"/>
  <c r="AV277"/>
  <c r="AU277"/>
  <c r="AT277"/>
  <c r="AS277"/>
  <c r="AR277"/>
  <c r="AQ277"/>
  <c r="AP277"/>
  <c r="AO277"/>
  <c r="AN277"/>
  <c r="AM277"/>
  <c r="AL277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F277"/>
  <c r="E277"/>
  <c r="D277"/>
  <c r="C277"/>
  <c r="B277"/>
  <c r="A277"/>
  <c r="CJ276"/>
  <c r="CI276"/>
  <c r="CH276"/>
  <c r="CG276"/>
  <c r="CF276"/>
  <c r="CE276"/>
  <c r="CD276"/>
  <c r="CC276"/>
  <c r="CB276"/>
  <c r="CA276"/>
  <c r="BZ276"/>
  <c r="BY276"/>
  <c r="BX276"/>
  <c r="BW276"/>
  <c r="BV276"/>
  <c r="BU276"/>
  <c r="BT276"/>
  <c r="BS276"/>
  <c r="BR276"/>
  <c r="BQ276"/>
  <c r="BP276"/>
  <c r="BO276"/>
  <c r="BN276"/>
  <c r="BM276"/>
  <c r="BL276"/>
  <c r="BK276"/>
  <c r="BJ276"/>
  <c r="BI276"/>
  <c r="BH276"/>
  <c r="BG276"/>
  <c r="BF276"/>
  <c r="BE276"/>
  <c r="BD276"/>
  <c r="BC276"/>
  <c r="BB276"/>
  <c r="BA276"/>
  <c r="AZ276"/>
  <c r="AY276"/>
  <c r="AX276"/>
  <c r="AW276"/>
  <c r="AV276"/>
  <c r="AU276"/>
  <c r="AT276"/>
  <c r="AS276"/>
  <c r="AR276"/>
  <c r="AQ276"/>
  <c r="AP276"/>
  <c r="AO276"/>
  <c r="AN276"/>
  <c r="AM276"/>
  <c r="AL276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F276"/>
  <c r="E276"/>
  <c r="D276"/>
  <c r="C276"/>
  <c r="B276"/>
  <c r="A276"/>
  <c r="CJ275"/>
  <c r="CI275"/>
  <c r="CH275"/>
  <c r="CG275"/>
  <c r="CF275"/>
  <c r="CE275"/>
  <c r="CD275"/>
  <c r="CC275"/>
  <c r="CB275"/>
  <c r="CA275"/>
  <c r="BZ275"/>
  <c r="BY275"/>
  <c r="BX275"/>
  <c r="BW275"/>
  <c r="BV275"/>
  <c r="BU275"/>
  <c r="BT275"/>
  <c r="BS275"/>
  <c r="BR275"/>
  <c r="BQ275"/>
  <c r="BP275"/>
  <c r="BO275"/>
  <c r="BN275"/>
  <c r="BM275"/>
  <c r="BL275"/>
  <c r="BK275"/>
  <c r="BJ275"/>
  <c r="BI275"/>
  <c r="BH275"/>
  <c r="BG275"/>
  <c r="BF275"/>
  <c r="BE275"/>
  <c r="BD275"/>
  <c r="BC275"/>
  <c r="BB275"/>
  <c r="BA275"/>
  <c r="AZ275"/>
  <c r="AY275"/>
  <c r="AX275"/>
  <c r="AW275"/>
  <c r="AV275"/>
  <c r="AU275"/>
  <c r="AT275"/>
  <c r="AS275"/>
  <c r="AR275"/>
  <c r="AQ275"/>
  <c r="AP275"/>
  <c r="AO275"/>
  <c r="AN275"/>
  <c r="AM275"/>
  <c r="AL275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F275"/>
  <c r="E275"/>
  <c r="D275"/>
  <c r="C275"/>
  <c r="B275"/>
  <c r="A275"/>
  <c r="CJ274"/>
  <c r="CI274"/>
  <c r="CH274"/>
  <c r="CG274"/>
  <c r="CF274"/>
  <c r="CE274"/>
  <c r="CD274"/>
  <c r="CC274"/>
  <c r="CB274"/>
  <c r="CA274"/>
  <c r="BZ274"/>
  <c r="BY274"/>
  <c r="BX274"/>
  <c r="BW274"/>
  <c r="BV274"/>
  <c r="BU274"/>
  <c r="BT274"/>
  <c r="BS274"/>
  <c r="BR274"/>
  <c r="BQ274"/>
  <c r="BP274"/>
  <c r="BO274"/>
  <c r="BN274"/>
  <c r="BM274"/>
  <c r="BL274"/>
  <c r="BK274"/>
  <c r="BJ274"/>
  <c r="BI274"/>
  <c r="BH274"/>
  <c r="BG274"/>
  <c r="BF274"/>
  <c r="BE274"/>
  <c r="BD274"/>
  <c r="BC274"/>
  <c r="BB274"/>
  <c r="BA274"/>
  <c r="AZ274"/>
  <c r="AY274"/>
  <c r="AX274"/>
  <c r="AW274"/>
  <c r="AV274"/>
  <c r="AU274"/>
  <c r="AT274"/>
  <c r="AS274"/>
  <c r="AR274"/>
  <c r="AQ274"/>
  <c r="AP274"/>
  <c r="AO274"/>
  <c r="AN274"/>
  <c r="AM274"/>
  <c r="AL274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F274"/>
  <c r="E274"/>
  <c r="D274"/>
  <c r="C274"/>
  <c r="B274"/>
  <c r="A274"/>
  <c r="CJ273"/>
  <c r="CI273"/>
  <c r="CH273"/>
  <c r="CG273"/>
  <c r="CF273"/>
  <c r="CE273"/>
  <c r="CD273"/>
  <c r="CC273"/>
  <c r="CB273"/>
  <c r="CA273"/>
  <c r="BZ273"/>
  <c r="BY273"/>
  <c r="BX273"/>
  <c r="BW273"/>
  <c r="BV273"/>
  <c r="BU273"/>
  <c r="BT273"/>
  <c r="BS273"/>
  <c r="BR273"/>
  <c r="BQ273"/>
  <c r="BP273"/>
  <c r="BO273"/>
  <c r="BN273"/>
  <c r="BM273"/>
  <c r="BL273"/>
  <c r="BK273"/>
  <c r="BJ273"/>
  <c r="BI273"/>
  <c r="BH273"/>
  <c r="BG273"/>
  <c r="BF273"/>
  <c r="BE273"/>
  <c r="BD273"/>
  <c r="BC273"/>
  <c r="BB273"/>
  <c r="BA273"/>
  <c r="AZ273"/>
  <c r="AY273"/>
  <c r="AX273"/>
  <c r="AW273"/>
  <c r="AV273"/>
  <c r="AU273"/>
  <c r="AT273"/>
  <c r="AS273"/>
  <c r="AR273"/>
  <c r="AQ273"/>
  <c r="AP273"/>
  <c r="AO273"/>
  <c r="AN273"/>
  <c r="AM273"/>
  <c r="AL273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F273"/>
  <c r="E273"/>
  <c r="D273"/>
  <c r="C273"/>
  <c r="B273"/>
  <c r="A273"/>
  <c r="CJ272"/>
  <c r="CI272"/>
  <c r="CH272"/>
  <c r="CG272"/>
  <c r="CF272"/>
  <c r="CE272"/>
  <c r="CD272"/>
  <c r="CC272"/>
  <c r="CB272"/>
  <c r="CA272"/>
  <c r="BZ272"/>
  <c r="BY272"/>
  <c r="BX272"/>
  <c r="BW272"/>
  <c r="BV272"/>
  <c r="BU272"/>
  <c r="BT272"/>
  <c r="BS272"/>
  <c r="BR272"/>
  <c r="BQ272"/>
  <c r="BP272"/>
  <c r="BO272"/>
  <c r="BN272"/>
  <c r="BM272"/>
  <c r="BL272"/>
  <c r="BK272"/>
  <c r="BJ272"/>
  <c r="BI272"/>
  <c r="BH272"/>
  <c r="BG272"/>
  <c r="BF272"/>
  <c r="BE272"/>
  <c r="BD272"/>
  <c r="BC272"/>
  <c r="BB272"/>
  <c r="BA272"/>
  <c r="AZ272"/>
  <c r="AY272"/>
  <c r="AX272"/>
  <c r="AW272"/>
  <c r="AV272"/>
  <c r="AU272"/>
  <c r="AT272"/>
  <c r="AS272"/>
  <c r="AR272"/>
  <c r="AQ272"/>
  <c r="AP272"/>
  <c r="AO272"/>
  <c r="AN272"/>
  <c r="AM272"/>
  <c r="AL272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F272"/>
  <c r="E272"/>
  <c r="D272"/>
  <c r="C272"/>
  <c r="B272"/>
  <c r="A272"/>
  <c r="CJ271"/>
  <c r="CI271"/>
  <c r="CH271"/>
  <c r="CG271"/>
  <c r="CF271"/>
  <c r="CE271"/>
  <c r="CD271"/>
  <c r="CC271"/>
  <c r="CB271"/>
  <c r="CA271"/>
  <c r="BZ271"/>
  <c r="BY271"/>
  <c r="BX271"/>
  <c r="BW271"/>
  <c r="BV271"/>
  <c r="BU271"/>
  <c r="BT271"/>
  <c r="BS271"/>
  <c r="BR271"/>
  <c r="BQ271"/>
  <c r="BP271"/>
  <c r="BO271"/>
  <c r="BN271"/>
  <c r="BM271"/>
  <c r="BL271"/>
  <c r="BK271"/>
  <c r="BJ271"/>
  <c r="BI271"/>
  <c r="BH271"/>
  <c r="BG271"/>
  <c r="BF271"/>
  <c r="BE271"/>
  <c r="BD271"/>
  <c r="BC271"/>
  <c r="BB271"/>
  <c r="BA271"/>
  <c r="AZ271"/>
  <c r="AY271"/>
  <c r="AX271"/>
  <c r="AW271"/>
  <c r="AV271"/>
  <c r="AU271"/>
  <c r="AT271"/>
  <c r="AS271"/>
  <c r="AR271"/>
  <c r="AQ271"/>
  <c r="AP271"/>
  <c r="AO271"/>
  <c r="AN271"/>
  <c r="AM271"/>
  <c r="AL271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F271"/>
  <c r="E271"/>
  <c r="D271"/>
  <c r="C271"/>
  <c r="B271"/>
  <c r="A271"/>
  <c r="CJ270"/>
  <c r="CI270"/>
  <c r="CH270"/>
  <c r="CG270"/>
  <c r="CF270"/>
  <c r="CE270"/>
  <c r="CD270"/>
  <c r="CC270"/>
  <c r="CB270"/>
  <c r="CA270"/>
  <c r="BZ270"/>
  <c r="BY270"/>
  <c r="BX270"/>
  <c r="BW270"/>
  <c r="BV270"/>
  <c r="BU270"/>
  <c r="BT270"/>
  <c r="BS270"/>
  <c r="BR270"/>
  <c r="BQ270"/>
  <c r="BP270"/>
  <c r="BO270"/>
  <c r="BN270"/>
  <c r="BM270"/>
  <c r="BL270"/>
  <c r="BK270"/>
  <c r="BJ270"/>
  <c r="BI270"/>
  <c r="BH270"/>
  <c r="BG270"/>
  <c r="BF270"/>
  <c r="BE270"/>
  <c r="BD270"/>
  <c r="BC270"/>
  <c r="BB270"/>
  <c r="BA270"/>
  <c r="AZ270"/>
  <c r="AY270"/>
  <c r="AX270"/>
  <c r="AW270"/>
  <c r="AV270"/>
  <c r="AU270"/>
  <c r="AT270"/>
  <c r="AS270"/>
  <c r="AR270"/>
  <c r="AQ270"/>
  <c r="AP270"/>
  <c r="AO270"/>
  <c r="AN270"/>
  <c r="AM270"/>
  <c r="AL270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F270"/>
  <c r="E270"/>
  <c r="D270"/>
  <c r="C270"/>
  <c r="B270"/>
  <c r="A270"/>
  <c r="CJ269"/>
  <c r="CI269"/>
  <c r="CH269"/>
  <c r="CG269"/>
  <c r="CF269"/>
  <c r="CE269"/>
  <c r="CD269"/>
  <c r="CC269"/>
  <c r="CB269"/>
  <c r="CA269"/>
  <c r="BZ269"/>
  <c r="BY269"/>
  <c r="BX269"/>
  <c r="BW269"/>
  <c r="BV269"/>
  <c r="BU269"/>
  <c r="BT269"/>
  <c r="BS269"/>
  <c r="BR269"/>
  <c r="BQ269"/>
  <c r="BP269"/>
  <c r="BO269"/>
  <c r="BN269"/>
  <c r="BM269"/>
  <c r="BL269"/>
  <c r="BK269"/>
  <c r="BJ269"/>
  <c r="BI269"/>
  <c r="BH269"/>
  <c r="BG269"/>
  <c r="BF269"/>
  <c r="BE269"/>
  <c r="BD269"/>
  <c r="BC269"/>
  <c r="BB269"/>
  <c r="BA269"/>
  <c r="AZ269"/>
  <c r="AY269"/>
  <c r="AX269"/>
  <c r="AW269"/>
  <c r="AV269"/>
  <c r="AU269"/>
  <c r="AT269"/>
  <c r="AS269"/>
  <c r="AR269"/>
  <c r="AQ269"/>
  <c r="AP269"/>
  <c r="AO269"/>
  <c r="AN269"/>
  <c r="AM269"/>
  <c r="AL269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F269"/>
  <c r="E269"/>
  <c r="D269"/>
  <c r="C269"/>
  <c r="B269"/>
  <c r="A269"/>
  <c r="CJ268"/>
  <c r="CI268"/>
  <c r="CH268"/>
  <c r="CG268"/>
  <c r="CF268"/>
  <c r="CE268"/>
  <c r="CD268"/>
  <c r="CC268"/>
  <c r="CB268"/>
  <c r="CA268"/>
  <c r="BZ268"/>
  <c r="BY268"/>
  <c r="BX268"/>
  <c r="BW268"/>
  <c r="BV268"/>
  <c r="BU268"/>
  <c r="BT268"/>
  <c r="BS268"/>
  <c r="BR268"/>
  <c r="BQ268"/>
  <c r="BP268"/>
  <c r="BO268"/>
  <c r="BN268"/>
  <c r="BM268"/>
  <c r="BL268"/>
  <c r="BK268"/>
  <c r="BJ268"/>
  <c r="BI268"/>
  <c r="BH268"/>
  <c r="BG268"/>
  <c r="BF268"/>
  <c r="BE268"/>
  <c r="BD268"/>
  <c r="BC268"/>
  <c r="BB268"/>
  <c r="BA268"/>
  <c r="AZ268"/>
  <c r="AY268"/>
  <c r="AX268"/>
  <c r="AW268"/>
  <c r="AV268"/>
  <c r="AU268"/>
  <c r="AT268"/>
  <c r="AS268"/>
  <c r="AR268"/>
  <c r="AQ268"/>
  <c r="AP268"/>
  <c r="AO268"/>
  <c r="AN268"/>
  <c r="AM268"/>
  <c r="AL268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F268"/>
  <c r="E268"/>
  <c r="D268"/>
  <c r="C268"/>
  <c r="B268"/>
  <c r="A268"/>
  <c r="CJ267"/>
  <c r="CI267"/>
  <c r="CH267"/>
  <c r="CG267"/>
  <c r="CF267"/>
  <c r="CE267"/>
  <c r="CD267"/>
  <c r="CC267"/>
  <c r="CB267"/>
  <c r="CA267"/>
  <c r="BZ267"/>
  <c r="BY267"/>
  <c r="BX267"/>
  <c r="BW267"/>
  <c r="BV267"/>
  <c r="BU267"/>
  <c r="BT267"/>
  <c r="BS267"/>
  <c r="BR267"/>
  <c r="BQ267"/>
  <c r="BP267"/>
  <c r="BO267"/>
  <c r="BN267"/>
  <c r="BM267"/>
  <c r="BL267"/>
  <c r="BK267"/>
  <c r="BJ267"/>
  <c r="BI267"/>
  <c r="BH267"/>
  <c r="BG267"/>
  <c r="BF267"/>
  <c r="BE267"/>
  <c r="BD267"/>
  <c r="BC267"/>
  <c r="BB267"/>
  <c r="BA267"/>
  <c r="AZ267"/>
  <c r="AY267"/>
  <c r="AX267"/>
  <c r="AW267"/>
  <c r="AV267"/>
  <c r="AU267"/>
  <c r="AT267"/>
  <c r="AS267"/>
  <c r="AR267"/>
  <c r="AQ267"/>
  <c r="AP267"/>
  <c r="AO267"/>
  <c r="AN267"/>
  <c r="AM267"/>
  <c r="AL267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F267"/>
  <c r="E267"/>
  <c r="D267"/>
  <c r="C267"/>
  <c r="B267"/>
  <c r="A267"/>
  <c r="CJ266"/>
  <c r="CI266"/>
  <c r="CH266"/>
  <c r="CG266"/>
  <c r="CF266"/>
  <c r="CE266"/>
  <c r="CD266"/>
  <c r="CC266"/>
  <c r="CB266"/>
  <c r="CA266"/>
  <c r="BZ266"/>
  <c r="BY266"/>
  <c r="BX266"/>
  <c r="BW266"/>
  <c r="BV266"/>
  <c r="BU266"/>
  <c r="BT266"/>
  <c r="BS266"/>
  <c r="BR266"/>
  <c r="BQ266"/>
  <c r="BP266"/>
  <c r="BO266"/>
  <c r="BN266"/>
  <c r="BM266"/>
  <c r="BL266"/>
  <c r="BK266"/>
  <c r="BJ266"/>
  <c r="BI266"/>
  <c r="BH266"/>
  <c r="BG266"/>
  <c r="BF266"/>
  <c r="BE266"/>
  <c r="BD266"/>
  <c r="BC266"/>
  <c r="BB266"/>
  <c r="BA266"/>
  <c r="AZ266"/>
  <c r="AY266"/>
  <c r="AX266"/>
  <c r="AW266"/>
  <c r="AV266"/>
  <c r="AU266"/>
  <c r="AT266"/>
  <c r="AS266"/>
  <c r="AR266"/>
  <c r="AQ266"/>
  <c r="AP266"/>
  <c r="AO266"/>
  <c r="AN266"/>
  <c r="AM266"/>
  <c r="AL266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F266"/>
  <c r="E266"/>
  <c r="D266"/>
  <c r="C266"/>
  <c r="B266"/>
  <c r="A266"/>
  <c r="CJ265"/>
  <c r="CI265"/>
  <c r="CH265"/>
  <c r="CG265"/>
  <c r="CF265"/>
  <c r="CE265"/>
  <c r="CD265"/>
  <c r="CC265"/>
  <c r="CB265"/>
  <c r="CA265"/>
  <c r="BZ265"/>
  <c r="BY265"/>
  <c r="BX265"/>
  <c r="BW265"/>
  <c r="BV265"/>
  <c r="BU265"/>
  <c r="BT265"/>
  <c r="BS265"/>
  <c r="BR265"/>
  <c r="BQ265"/>
  <c r="BP265"/>
  <c r="BO265"/>
  <c r="BN265"/>
  <c r="BM265"/>
  <c r="BL265"/>
  <c r="BK265"/>
  <c r="BJ265"/>
  <c r="BI265"/>
  <c r="BH265"/>
  <c r="BG265"/>
  <c r="BF265"/>
  <c r="BE265"/>
  <c r="BD265"/>
  <c r="BC265"/>
  <c r="BB265"/>
  <c r="BA265"/>
  <c r="AZ265"/>
  <c r="AY265"/>
  <c r="AX265"/>
  <c r="AW265"/>
  <c r="AV265"/>
  <c r="AU265"/>
  <c r="AT265"/>
  <c r="AS265"/>
  <c r="AR265"/>
  <c r="AQ265"/>
  <c r="AP265"/>
  <c r="AO265"/>
  <c r="AN265"/>
  <c r="AM265"/>
  <c r="AL265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F265"/>
  <c r="E265"/>
  <c r="D265"/>
  <c r="C265"/>
  <c r="B265"/>
  <c r="A265"/>
  <c r="CJ264"/>
  <c r="CI264"/>
  <c r="CH264"/>
  <c r="CG264"/>
  <c r="CF264"/>
  <c r="CE264"/>
  <c r="CD264"/>
  <c r="CC264"/>
  <c r="CB264"/>
  <c r="CA264"/>
  <c r="BZ264"/>
  <c r="BY264"/>
  <c r="BX264"/>
  <c r="BW264"/>
  <c r="BV264"/>
  <c r="BU264"/>
  <c r="BT264"/>
  <c r="BS264"/>
  <c r="BR264"/>
  <c r="BQ264"/>
  <c r="BP264"/>
  <c r="BO264"/>
  <c r="BN264"/>
  <c r="BM264"/>
  <c r="BL264"/>
  <c r="BK264"/>
  <c r="BJ264"/>
  <c r="BI264"/>
  <c r="BH264"/>
  <c r="BG264"/>
  <c r="BF264"/>
  <c r="BE264"/>
  <c r="BD264"/>
  <c r="BC264"/>
  <c r="BB264"/>
  <c r="BA264"/>
  <c r="AZ264"/>
  <c r="AY264"/>
  <c r="AX264"/>
  <c r="AW264"/>
  <c r="AV264"/>
  <c r="AU264"/>
  <c r="AT264"/>
  <c r="AS264"/>
  <c r="AR264"/>
  <c r="AQ264"/>
  <c r="AP264"/>
  <c r="AO264"/>
  <c r="AN264"/>
  <c r="AM264"/>
  <c r="AL264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F264"/>
  <c r="E264"/>
  <c r="D264"/>
  <c r="C264"/>
  <c r="B264"/>
  <c r="A264"/>
  <c r="CJ263"/>
  <c r="CI263"/>
  <c r="CH263"/>
  <c r="CG263"/>
  <c r="CF263"/>
  <c r="CE263"/>
  <c r="CD263"/>
  <c r="CC263"/>
  <c r="CB263"/>
  <c r="CA263"/>
  <c r="BZ263"/>
  <c r="BY263"/>
  <c r="BX263"/>
  <c r="BW263"/>
  <c r="BV263"/>
  <c r="BU263"/>
  <c r="BT263"/>
  <c r="BS263"/>
  <c r="BR263"/>
  <c r="BQ263"/>
  <c r="BP263"/>
  <c r="BO263"/>
  <c r="BN263"/>
  <c r="BM263"/>
  <c r="BL263"/>
  <c r="BK263"/>
  <c r="BJ263"/>
  <c r="BI263"/>
  <c r="BH263"/>
  <c r="BG263"/>
  <c r="BF263"/>
  <c r="BE263"/>
  <c r="BD263"/>
  <c r="BC263"/>
  <c r="BB263"/>
  <c r="BA263"/>
  <c r="AZ263"/>
  <c r="AY263"/>
  <c r="AX263"/>
  <c r="AW263"/>
  <c r="AV263"/>
  <c r="AU263"/>
  <c r="AT263"/>
  <c r="AS263"/>
  <c r="AR263"/>
  <c r="AQ263"/>
  <c r="AP263"/>
  <c r="AO263"/>
  <c r="AN263"/>
  <c r="AM263"/>
  <c r="AL263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F263"/>
  <c r="E263"/>
  <c r="D263"/>
  <c r="C263"/>
  <c r="B263"/>
  <c r="A263"/>
  <c r="CJ262"/>
  <c r="CI262"/>
  <c r="CH262"/>
  <c r="CG262"/>
  <c r="CF262"/>
  <c r="CE262"/>
  <c r="CD262"/>
  <c r="CC262"/>
  <c r="CB262"/>
  <c r="CA262"/>
  <c r="BZ262"/>
  <c r="BY262"/>
  <c r="BX262"/>
  <c r="BW262"/>
  <c r="BV262"/>
  <c r="BU262"/>
  <c r="BT262"/>
  <c r="BS262"/>
  <c r="BR262"/>
  <c r="BQ262"/>
  <c r="BP262"/>
  <c r="BO262"/>
  <c r="BN262"/>
  <c r="BM262"/>
  <c r="BL262"/>
  <c r="BK262"/>
  <c r="BJ262"/>
  <c r="BI262"/>
  <c r="BH262"/>
  <c r="BG262"/>
  <c r="BF262"/>
  <c r="BE262"/>
  <c r="BD262"/>
  <c r="BC262"/>
  <c r="BB262"/>
  <c r="BA262"/>
  <c r="AZ262"/>
  <c r="AY262"/>
  <c r="AX262"/>
  <c r="AW262"/>
  <c r="AV262"/>
  <c r="AU262"/>
  <c r="AT262"/>
  <c r="AS262"/>
  <c r="AR262"/>
  <c r="AQ262"/>
  <c r="AP262"/>
  <c r="AO262"/>
  <c r="AN262"/>
  <c r="AM262"/>
  <c r="AL262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F262"/>
  <c r="E262"/>
  <c r="D262"/>
  <c r="C262"/>
  <c r="B262"/>
  <c r="A262"/>
  <c r="CJ261"/>
  <c r="CI261"/>
  <c r="CH261"/>
  <c r="CG261"/>
  <c r="CF261"/>
  <c r="CE261"/>
  <c r="CD261"/>
  <c r="CC261"/>
  <c r="CB261"/>
  <c r="CA261"/>
  <c r="BZ261"/>
  <c r="BY261"/>
  <c r="BX261"/>
  <c r="BW261"/>
  <c r="BV261"/>
  <c r="BU261"/>
  <c r="BT261"/>
  <c r="BS261"/>
  <c r="BR261"/>
  <c r="BQ261"/>
  <c r="BP261"/>
  <c r="BO261"/>
  <c r="BN261"/>
  <c r="BM261"/>
  <c r="BL261"/>
  <c r="BK261"/>
  <c r="BJ261"/>
  <c r="BI261"/>
  <c r="BH261"/>
  <c r="BG261"/>
  <c r="BF261"/>
  <c r="BE261"/>
  <c r="BD261"/>
  <c r="BC261"/>
  <c r="BB261"/>
  <c r="BA261"/>
  <c r="AZ261"/>
  <c r="AY261"/>
  <c r="AX261"/>
  <c r="AW261"/>
  <c r="AV261"/>
  <c r="AU261"/>
  <c r="AT261"/>
  <c r="AS261"/>
  <c r="AR261"/>
  <c r="AQ261"/>
  <c r="AP261"/>
  <c r="AO261"/>
  <c r="AN261"/>
  <c r="AM261"/>
  <c r="AL261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F261"/>
  <c r="E261"/>
  <c r="D261"/>
  <c r="C261"/>
  <c r="B261"/>
  <c r="A261"/>
  <c r="CJ260"/>
  <c r="CI260"/>
  <c r="CH260"/>
  <c r="CG260"/>
  <c r="CF260"/>
  <c r="CE260"/>
  <c r="CD260"/>
  <c r="CC260"/>
  <c r="CB260"/>
  <c r="CA260"/>
  <c r="BZ260"/>
  <c r="BY260"/>
  <c r="BX260"/>
  <c r="BW260"/>
  <c r="BV260"/>
  <c r="BU260"/>
  <c r="BT260"/>
  <c r="BS260"/>
  <c r="BR260"/>
  <c r="BQ260"/>
  <c r="BP260"/>
  <c r="BO260"/>
  <c r="BN260"/>
  <c r="BM260"/>
  <c r="BL260"/>
  <c r="BK260"/>
  <c r="BJ260"/>
  <c r="BI260"/>
  <c r="BH260"/>
  <c r="BG260"/>
  <c r="BF260"/>
  <c r="BE260"/>
  <c r="BD260"/>
  <c r="BC260"/>
  <c r="BB260"/>
  <c r="BA260"/>
  <c r="AZ260"/>
  <c r="AY260"/>
  <c r="AX260"/>
  <c r="AW260"/>
  <c r="AV260"/>
  <c r="AU260"/>
  <c r="AT260"/>
  <c r="AS260"/>
  <c r="AR260"/>
  <c r="AQ260"/>
  <c r="AP260"/>
  <c r="AO260"/>
  <c r="AN260"/>
  <c r="AM260"/>
  <c r="AL260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F260"/>
  <c r="E260"/>
  <c r="D260"/>
  <c r="C260"/>
  <c r="B260"/>
  <c r="A260"/>
  <c r="CJ259"/>
  <c r="CI259"/>
  <c r="CH259"/>
  <c r="CG259"/>
  <c r="CF259"/>
  <c r="CE259"/>
  <c r="CD259"/>
  <c r="CC259"/>
  <c r="CB259"/>
  <c r="CA259"/>
  <c r="BZ259"/>
  <c r="BY259"/>
  <c r="BX259"/>
  <c r="BW259"/>
  <c r="BV259"/>
  <c r="BU259"/>
  <c r="BT259"/>
  <c r="BS259"/>
  <c r="BR259"/>
  <c r="BQ259"/>
  <c r="BP259"/>
  <c r="BO259"/>
  <c r="BN259"/>
  <c r="BM259"/>
  <c r="BL259"/>
  <c r="BK259"/>
  <c r="BJ259"/>
  <c r="BI259"/>
  <c r="BH259"/>
  <c r="BG259"/>
  <c r="BF259"/>
  <c r="BE259"/>
  <c r="BD259"/>
  <c r="BC259"/>
  <c r="BB259"/>
  <c r="BA259"/>
  <c r="AZ259"/>
  <c r="AY259"/>
  <c r="AX259"/>
  <c r="AW259"/>
  <c r="AV259"/>
  <c r="AU259"/>
  <c r="AT259"/>
  <c r="AS259"/>
  <c r="AR259"/>
  <c r="AQ259"/>
  <c r="AP259"/>
  <c r="AO259"/>
  <c r="AN259"/>
  <c r="AM259"/>
  <c r="AL259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F259"/>
  <c r="E259"/>
  <c r="D259"/>
  <c r="C259"/>
  <c r="B259"/>
  <c r="A259"/>
  <c r="CJ258"/>
  <c r="CI258"/>
  <c r="CH258"/>
  <c r="CG258"/>
  <c r="CF258"/>
  <c r="CE258"/>
  <c r="CD258"/>
  <c r="CC258"/>
  <c r="CB258"/>
  <c r="CA258"/>
  <c r="BZ258"/>
  <c r="BY258"/>
  <c r="BX258"/>
  <c r="BW258"/>
  <c r="BV258"/>
  <c r="BU258"/>
  <c r="BT258"/>
  <c r="BS258"/>
  <c r="BR258"/>
  <c r="BQ258"/>
  <c r="BP258"/>
  <c r="BO258"/>
  <c r="BN258"/>
  <c r="BM258"/>
  <c r="BL258"/>
  <c r="BK258"/>
  <c r="BJ258"/>
  <c r="BI258"/>
  <c r="BH258"/>
  <c r="BG258"/>
  <c r="BF258"/>
  <c r="BE258"/>
  <c r="BD258"/>
  <c r="BC258"/>
  <c r="BB258"/>
  <c r="BA258"/>
  <c r="AZ258"/>
  <c r="AY258"/>
  <c r="AX258"/>
  <c r="AW258"/>
  <c r="AV258"/>
  <c r="AU258"/>
  <c r="AT258"/>
  <c r="AS258"/>
  <c r="AR258"/>
  <c r="AQ258"/>
  <c r="AP258"/>
  <c r="AO258"/>
  <c r="AN258"/>
  <c r="AM258"/>
  <c r="AL258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F258"/>
  <c r="E258"/>
  <c r="D258"/>
  <c r="C258"/>
  <c r="B258"/>
  <c r="A258"/>
  <c r="CJ257"/>
  <c r="CI257"/>
  <c r="CH257"/>
  <c r="CG257"/>
  <c r="CF257"/>
  <c r="CE257"/>
  <c r="CD257"/>
  <c r="CC257"/>
  <c r="CB257"/>
  <c r="CA257"/>
  <c r="BZ257"/>
  <c r="BY257"/>
  <c r="BX257"/>
  <c r="BW257"/>
  <c r="BV257"/>
  <c r="BU257"/>
  <c r="BT257"/>
  <c r="BS257"/>
  <c r="BR257"/>
  <c r="BQ257"/>
  <c r="BP257"/>
  <c r="BO257"/>
  <c r="BN257"/>
  <c r="BM257"/>
  <c r="BL257"/>
  <c r="BK257"/>
  <c r="BJ257"/>
  <c r="BI257"/>
  <c r="BH257"/>
  <c r="BG257"/>
  <c r="BF257"/>
  <c r="BE257"/>
  <c r="BD257"/>
  <c r="BC257"/>
  <c r="BB257"/>
  <c r="BA257"/>
  <c r="AZ257"/>
  <c r="AY257"/>
  <c r="AX257"/>
  <c r="AW257"/>
  <c r="AV257"/>
  <c r="AU257"/>
  <c r="AT257"/>
  <c r="AS257"/>
  <c r="AR257"/>
  <c r="AQ257"/>
  <c r="AP257"/>
  <c r="AO257"/>
  <c r="AN257"/>
  <c r="AM257"/>
  <c r="AL257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F257"/>
  <c r="E257"/>
  <c r="D257"/>
  <c r="C257"/>
  <c r="B257"/>
  <c r="A257"/>
  <c r="CJ256"/>
  <c r="CI256"/>
  <c r="CH256"/>
  <c r="CG256"/>
  <c r="CF256"/>
  <c r="CE256"/>
  <c r="CD256"/>
  <c r="CC256"/>
  <c r="CB256"/>
  <c r="CA256"/>
  <c r="BZ256"/>
  <c r="BY256"/>
  <c r="BX256"/>
  <c r="BW256"/>
  <c r="BV256"/>
  <c r="BU256"/>
  <c r="BT256"/>
  <c r="BS256"/>
  <c r="BR256"/>
  <c r="BQ256"/>
  <c r="BP256"/>
  <c r="BO256"/>
  <c r="BN256"/>
  <c r="BM256"/>
  <c r="BL256"/>
  <c r="BK256"/>
  <c r="BJ256"/>
  <c r="BI256"/>
  <c r="BH256"/>
  <c r="BG256"/>
  <c r="BF256"/>
  <c r="BE256"/>
  <c r="BD256"/>
  <c r="BC256"/>
  <c r="BB256"/>
  <c r="BA256"/>
  <c r="AZ256"/>
  <c r="AY256"/>
  <c r="AX256"/>
  <c r="AW256"/>
  <c r="AV256"/>
  <c r="AU256"/>
  <c r="AT256"/>
  <c r="AS256"/>
  <c r="AR256"/>
  <c r="AQ256"/>
  <c r="AP256"/>
  <c r="AO256"/>
  <c r="AN256"/>
  <c r="AM256"/>
  <c r="AL256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B256"/>
  <c r="A256"/>
  <c r="CJ255"/>
  <c r="CI255"/>
  <c r="CH255"/>
  <c r="CG255"/>
  <c r="CF255"/>
  <c r="CE255"/>
  <c r="CD255"/>
  <c r="CC255"/>
  <c r="CB255"/>
  <c r="CA255"/>
  <c r="BZ255"/>
  <c r="BY255"/>
  <c r="BX255"/>
  <c r="BW255"/>
  <c r="BV255"/>
  <c r="BU255"/>
  <c r="BT255"/>
  <c r="BS255"/>
  <c r="BR255"/>
  <c r="BQ255"/>
  <c r="BP255"/>
  <c r="BO255"/>
  <c r="BN255"/>
  <c r="BM255"/>
  <c r="BL255"/>
  <c r="BK255"/>
  <c r="BJ255"/>
  <c r="BI255"/>
  <c r="BH255"/>
  <c r="BG255"/>
  <c r="BF255"/>
  <c r="BE255"/>
  <c r="BD255"/>
  <c r="BC255"/>
  <c r="BB255"/>
  <c r="BA255"/>
  <c r="AZ255"/>
  <c r="AY255"/>
  <c r="AX255"/>
  <c r="AW255"/>
  <c r="AV255"/>
  <c r="AU255"/>
  <c r="AT255"/>
  <c r="AS255"/>
  <c r="AR255"/>
  <c r="AQ255"/>
  <c r="AP255"/>
  <c r="AO255"/>
  <c r="AN255"/>
  <c r="AM255"/>
  <c r="AL255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F255"/>
  <c r="E255"/>
  <c r="D255"/>
  <c r="C255"/>
  <c r="B255"/>
  <c r="A255"/>
  <c r="CJ254"/>
  <c r="CI254"/>
  <c r="CH254"/>
  <c r="CG254"/>
  <c r="CF254"/>
  <c r="CE254"/>
  <c r="CD254"/>
  <c r="CC254"/>
  <c r="CB254"/>
  <c r="CA254"/>
  <c r="BZ254"/>
  <c r="BY254"/>
  <c r="BX254"/>
  <c r="BW254"/>
  <c r="BV254"/>
  <c r="BU254"/>
  <c r="BT254"/>
  <c r="BS254"/>
  <c r="BR254"/>
  <c r="BQ254"/>
  <c r="BP254"/>
  <c r="BO254"/>
  <c r="BN254"/>
  <c r="BM254"/>
  <c r="BL254"/>
  <c r="BK254"/>
  <c r="BJ254"/>
  <c r="BI254"/>
  <c r="BH254"/>
  <c r="BG254"/>
  <c r="BF254"/>
  <c r="BE254"/>
  <c r="BD254"/>
  <c r="BC254"/>
  <c r="BB254"/>
  <c r="BA254"/>
  <c r="AZ254"/>
  <c r="AY254"/>
  <c r="AX254"/>
  <c r="AW254"/>
  <c r="AV254"/>
  <c r="AU254"/>
  <c r="AT254"/>
  <c r="AS254"/>
  <c r="AR254"/>
  <c r="AQ254"/>
  <c r="AP254"/>
  <c r="AO254"/>
  <c r="AN254"/>
  <c r="AM254"/>
  <c r="AL254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F254"/>
  <c r="E254"/>
  <c r="D254"/>
  <c r="C254"/>
  <c r="B254"/>
  <c r="A254"/>
  <c r="CJ253"/>
  <c r="CI253"/>
  <c r="CH253"/>
  <c r="CG253"/>
  <c r="CF253"/>
  <c r="CE253"/>
  <c r="CD253"/>
  <c r="CC253"/>
  <c r="CB253"/>
  <c r="CA253"/>
  <c r="BZ253"/>
  <c r="BY253"/>
  <c r="BX253"/>
  <c r="BW253"/>
  <c r="BV253"/>
  <c r="BU253"/>
  <c r="BT253"/>
  <c r="BS253"/>
  <c r="BR253"/>
  <c r="BQ253"/>
  <c r="BP253"/>
  <c r="BO253"/>
  <c r="BN253"/>
  <c r="BM253"/>
  <c r="BL253"/>
  <c r="BK253"/>
  <c r="BJ253"/>
  <c r="BI253"/>
  <c r="BH253"/>
  <c r="BG253"/>
  <c r="BF253"/>
  <c r="BE253"/>
  <c r="BD253"/>
  <c r="BC253"/>
  <c r="BB253"/>
  <c r="BA253"/>
  <c r="AZ253"/>
  <c r="AY253"/>
  <c r="AX253"/>
  <c r="AW253"/>
  <c r="AV253"/>
  <c r="AU253"/>
  <c r="AT253"/>
  <c r="AS253"/>
  <c r="AR253"/>
  <c r="AQ253"/>
  <c r="AP253"/>
  <c r="AO253"/>
  <c r="AN253"/>
  <c r="AM253"/>
  <c r="AL253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F253"/>
  <c r="E253"/>
  <c r="D253"/>
  <c r="C253"/>
  <c r="B253"/>
  <c r="A253"/>
  <c r="CJ252"/>
  <c r="CI252"/>
  <c r="CH252"/>
  <c r="CG252"/>
  <c r="CF252"/>
  <c r="CE252"/>
  <c r="CD252"/>
  <c r="CC252"/>
  <c r="CB252"/>
  <c r="CA252"/>
  <c r="BZ252"/>
  <c r="BY252"/>
  <c r="BX252"/>
  <c r="BW252"/>
  <c r="BV252"/>
  <c r="BU252"/>
  <c r="BT252"/>
  <c r="BS252"/>
  <c r="BR252"/>
  <c r="BQ252"/>
  <c r="BP252"/>
  <c r="BO252"/>
  <c r="BN252"/>
  <c r="BM252"/>
  <c r="BL252"/>
  <c r="BK252"/>
  <c r="BJ252"/>
  <c r="BI252"/>
  <c r="BH252"/>
  <c r="BG252"/>
  <c r="BF252"/>
  <c r="BE252"/>
  <c r="BD252"/>
  <c r="BC252"/>
  <c r="BB252"/>
  <c r="BA252"/>
  <c r="AZ252"/>
  <c r="AY252"/>
  <c r="AX252"/>
  <c r="AW252"/>
  <c r="AV252"/>
  <c r="AU252"/>
  <c r="AT252"/>
  <c r="AS252"/>
  <c r="AR252"/>
  <c r="AQ252"/>
  <c r="AP252"/>
  <c r="AO252"/>
  <c r="AN252"/>
  <c r="AM252"/>
  <c r="AL252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F252"/>
  <c r="E252"/>
  <c r="D252"/>
  <c r="C252"/>
  <c r="B252"/>
  <c r="A252"/>
  <c r="CJ251"/>
  <c r="CI251"/>
  <c r="CH251"/>
  <c r="CG251"/>
  <c r="CF251"/>
  <c r="CE251"/>
  <c r="CD251"/>
  <c r="CC251"/>
  <c r="CB251"/>
  <c r="CA251"/>
  <c r="BZ251"/>
  <c r="BY251"/>
  <c r="BX251"/>
  <c r="BW251"/>
  <c r="BV251"/>
  <c r="BU251"/>
  <c r="BT251"/>
  <c r="BS251"/>
  <c r="BR251"/>
  <c r="BQ251"/>
  <c r="BP251"/>
  <c r="BO251"/>
  <c r="BN251"/>
  <c r="BM251"/>
  <c r="BL251"/>
  <c r="BK251"/>
  <c r="BJ251"/>
  <c r="BI251"/>
  <c r="BH251"/>
  <c r="BG251"/>
  <c r="BF251"/>
  <c r="BE251"/>
  <c r="BD251"/>
  <c r="BC251"/>
  <c r="BB251"/>
  <c r="BA251"/>
  <c r="AZ251"/>
  <c r="AY251"/>
  <c r="AX251"/>
  <c r="AW251"/>
  <c r="AV251"/>
  <c r="AU251"/>
  <c r="AT251"/>
  <c r="AS251"/>
  <c r="AR251"/>
  <c r="AQ251"/>
  <c r="AP251"/>
  <c r="AO251"/>
  <c r="AN251"/>
  <c r="AM251"/>
  <c r="AL251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F251"/>
  <c r="E251"/>
  <c r="D251"/>
  <c r="C251"/>
  <c r="B251"/>
  <c r="A251"/>
  <c r="CJ250"/>
  <c r="CI250"/>
  <c r="CH250"/>
  <c r="CG250"/>
  <c r="CF250"/>
  <c r="CE250"/>
  <c r="CD250"/>
  <c r="CC250"/>
  <c r="CB250"/>
  <c r="CA250"/>
  <c r="BZ250"/>
  <c r="BY250"/>
  <c r="BX250"/>
  <c r="BW250"/>
  <c r="BV250"/>
  <c r="BU250"/>
  <c r="BT250"/>
  <c r="BS250"/>
  <c r="BR250"/>
  <c r="BQ250"/>
  <c r="BP250"/>
  <c r="BO250"/>
  <c r="BN250"/>
  <c r="BM250"/>
  <c r="BL250"/>
  <c r="BK250"/>
  <c r="BJ250"/>
  <c r="BI250"/>
  <c r="BH250"/>
  <c r="BG250"/>
  <c r="BF250"/>
  <c r="BE250"/>
  <c r="BD250"/>
  <c r="BC250"/>
  <c r="BB250"/>
  <c r="BA250"/>
  <c r="AZ250"/>
  <c r="AY250"/>
  <c r="AX250"/>
  <c r="AW250"/>
  <c r="AV250"/>
  <c r="AU250"/>
  <c r="AT250"/>
  <c r="AS250"/>
  <c r="AR250"/>
  <c r="AQ250"/>
  <c r="AP250"/>
  <c r="AO250"/>
  <c r="AN250"/>
  <c r="AM250"/>
  <c r="AL250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F250"/>
  <c r="E250"/>
  <c r="D250"/>
  <c r="C250"/>
  <c r="B250"/>
  <c r="A250"/>
  <c r="CJ249"/>
  <c r="CI249"/>
  <c r="CH249"/>
  <c r="CG249"/>
  <c r="CF249"/>
  <c r="CE249"/>
  <c r="CD249"/>
  <c r="CC249"/>
  <c r="CB249"/>
  <c r="CA249"/>
  <c r="BZ249"/>
  <c r="BY249"/>
  <c r="BX249"/>
  <c r="BW249"/>
  <c r="BV249"/>
  <c r="BU249"/>
  <c r="BT249"/>
  <c r="BS249"/>
  <c r="BR249"/>
  <c r="BQ249"/>
  <c r="BP249"/>
  <c r="BO249"/>
  <c r="BN249"/>
  <c r="BM249"/>
  <c r="BL249"/>
  <c r="BK249"/>
  <c r="BJ249"/>
  <c r="BI249"/>
  <c r="BH249"/>
  <c r="BG249"/>
  <c r="BF249"/>
  <c r="BE249"/>
  <c r="BD249"/>
  <c r="BC249"/>
  <c r="BB249"/>
  <c r="BA249"/>
  <c r="AZ249"/>
  <c r="AY249"/>
  <c r="AX249"/>
  <c r="AW249"/>
  <c r="AV249"/>
  <c r="AU249"/>
  <c r="AT249"/>
  <c r="AS249"/>
  <c r="AR249"/>
  <c r="AQ249"/>
  <c r="AP249"/>
  <c r="AO249"/>
  <c r="AN249"/>
  <c r="AM249"/>
  <c r="AL249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F249"/>
  <c r="E249"/>
  <c r="D249"/>
  <c r="C249"/>
  <c r="B249"/>
  <c r="A249"/>
  <c r="CJ248"/>
  <c r="CI248"/>
  <c r="CH248"/>
  <c r="CG248"/>
  <c r="CF248"/>
  <c r="CE248"/>
  <c r="CD248"/>
  <c r="CC248"/>
  <c r="CB248"/>
  <c r="CA248"/>
  <c r="BZ248"/>
  <c r="BY248"/>
  <c r="BX248"/>
  <c r="BW248"/>
  <c r="BV248"/>
  <c r="BU248"/>
  <c r="BT248"/>
  <c r="BS248"/>
  <c r="BR248"/>
  <c r="BQ248"/>
  <c r="BP248"/>
  <c r="BO248"/>
  <c r="BN248"/>
  <c r="BM248"/>
  <c r="BL248"/>
  <c r="BK248"/>
  <c r="BJ248"/>
  <c r="BI248"/>
  <c r="BH248"/>
  <c r="BG248"/>
  <c r="BF248"/>
  <c r="BE248"/>
  <c r="BD248"/>
  <c r="BC248"/>
  <c r="BB248"/>
  <c r="BA248"/>
  <c r="AZ248"/>
  <c r="AY248"/>
  <c r="AX248"/>
  <c r="AW248"/>
  <c r="AV248"/>
  <c r="AU248"/>
  <c r="AT248"/>
  <c r="AS248"/>
  <c r="AR248"/>
  <c r="AQ248"/>
  <c r="AP248"/>
  <c r="AO248"/>
  <c r="AN248"/>
  <c r="AM248"/>
  <c r="AL248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F248"/>
  <c r="E248"/>
  <c r="D248"/>
  <c r="C248"/>
  <c r="B248"/>
  <c r="A248"/>
  <c r="CJ247"/>
  <c r="CI247"/>
  <c r="CH247"/>
  <c r="CG247"/>
  <c r="CF247"/>
  <c r="CE247"/>
  <c r="CD247"/>
  <c r="CC247"/>
  <c r="CB247"/>
  <c r="CA247"/>
  <c r="BZ247"/>
  <c r="BY247"/>
  <c r="BX247"/>
  <c r="BW247"/>
  <c r="BV247"/>
  <c r="BU247"/>
  <c r="BT247"/>
  <c r="BS247"/>
  <c r="BR247"/>
  <c r="BQ247"/>
  <c r="BP247"/>
  <c r="BO247"/>
  <c r="BN247"/>
  <c r="BM247"/>
  <c r="BL247"/>
  <c r="BK247"/>
  <c r="BJ247"/>
  <c r="BI247"/>
  <c r="BH247"/>
  <c r="BG247"/>
  <c r="BF247"/>
  <c r="BE247"/>
  <c r="BD247"/>
  <c r="BC247"/>
  <c r="BB247"/>
  <c r="BA247"/>
  <c r="AZ247"/>
  <c r="AY247"/>
  <c r="AX247"/>
  <c r="AW247"/>
  <c r="AV247"/>
  <c r="AU247"/>
  <c r="AT247"/>
  <c r="AS247"/>
  <c r="AR247"/>
  <c r="AQ247"/>
  <c r="AP247"/>
  <c r="AO247"/>
  <c r="AN247"/>
  <c r="AM247"/>
  <c r="AL247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F247"/>
  <c r="E247"/>
  <c r="D247"/>
  <c r="C247"/>
  <c r="B247"/>
  <c r="A247"/>
  <c r="CJ246"/>
  <c r="CI246"/>
  <c r="CH246"/>
  <c r="CG246"/>
  <c r="CF246"/>
  <c r="CE246"/>
  <c r="CD246"/>
  <c r="CC246"/>
  <c r="CB246"/>
  <c r="CA246"/>
  <c r="BZ246"/>
  <c r="BY246"/>
  <c r="BX246"/>
  <c r="BW246"/>
  <c r="BV246"/>
  <c r="BU246"/>
  <c r="BT246"/>
  <c r="BS246"/>
  <c r="BR246"/>
  <c r="BQ246"/>
  <c r="BP246"/>
  <c r="BO246"/>
  <c r="BN246"/>
  <c r="BM246"/>
  <c r="BL246"/>
  <c r="BK246"/>
  <c r="BJ246"/>
  <c r="BI246"/>
  <c r="BH246"/>
  <c r="BG246"/>
  <c r="BF246"/>
  <c r="BE246"/>
  <c r="BD246"/>
  <c r="BC246"/>
  <c r="BB246"/>
  <c r="BA246"/>
  <c r="AZ246"/>
  <c r="AY246"/>
  <c r="AX246"/>
  <c r="AW246"/>
  <c r="AV246"/>
  <c r="AU246"/>
  <c r="AT246"/>
  <c r="AS246"/>
  <c r="AR246"/>
  <c r="AQ246"/>
  <c r="AP246"/>
  <c r="AO246"/>
  <c r="AN246"/>
  <c r="AM246"/>
  <c r="AL246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F246"/>
  <c r="E246"/>
  <c r="D246"/>
  <c r="C246"/>
  <c r="B246"/>
  <c r="A246"/>
  <c r="CJ245"/>
  <c r="CI245"/>
  <c r="CH245"/>
  <c r="CG245"/>
  <c r="CF245"/>
  <c r="CE245"/>
  <c r="CD245"/>
  <c r="CC245"/>
  <c r="CB245"/>
  <c r="CA245"/>
  <c r="BZ245"/>
  <c r="BY245"/>
  <c r="BX245"/>
  <c r="BW245"/>
  <c r="BV245"/>
  <c r="BU245"/>
  <c r="BT245"/>
  <c r="BS245"/>
  <c r="BR245"/>
  <c r="BQ245"/>
  <c r="BP245"/>
  <c r="BO245"/>
  <c r="BN245"/>
  <c r="BM245"/>
  <c r="BL245"/>
  <c r="BK245"/>
  <c r="BJ245"/>
  <c r="BI245"/>
  <c r="BH245"/>
  <c r="BG245"/>
  <c r="BF245"/>
  <c r="BE245"/>
  <c r="BD245"/>
  <c r="BC245"/>
  <c r="BB245"/>
  <c r="BA245"/>
  <c r="AZ245"/>
  <c r="AY245"/>
  <c r="AX245"/>
  <c r="AW245"/>
  <c r="AV245"/>
  <c r="AU245"/>
  <c r="AT245"/>
  <c r="AS245"/>
  <c r="AR245"/>
  <c r="AQ245"/>
  <c r="AP245"/>
  <c r="AO245"/>
  <c r="AN245"/>
  <c r="AM245"/>
  <c r="AL245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F245"/>
  <c r="E245"/>
  <c r="D245"/>
  <c r="C245"/>
  <c r="B245"/>
  <c r="A245"/>
  <c r="CJ244"/>
  <c r="CI244"/>
  <c r="CH244"/>
  <c r="CG244"/>
  <c r="CF244"/>
  <c r="CE244"/>
  <c r="CD244"/>
  <c r="CC244"/>
  <c r="CB244"/>
  <c r="CA244"/>
  <c r="BZ244"/>
  <c r="BY244"/>
  <c r="BX244"/>
  <c r="BW244"/>
  <c r="BV244"/>
  <c r="BU244"/>
  <c r="BT244"/>
  <c r="BS244"/>
  <c r="BR244"/>
  <c r="BQ244"/>
  <c r="BP244"/>
  <c r="BO244"/>
  <c r="BN244"/>
  <c r="BM244"/>
  <c r="BL244"/>
  <c r="BK244"/>
  <c r="BJ244"/>
  <c r="BI244"/>
  <c r="BH244"/>
  <c r="BG244"/>
  <c r="BF244"/>
  <c r="BE244"/>
  <c r="BD244"/>
  <c r="BC244"/>
  <c r="BB244"/>
  <c r="BA244"/>
  <c r="AZ244"/>
  <c r="AY244"/>
  <c r="AX244"/>
  <c r="AW244"/>
  <c r="AV244"/>
  <c r="AU244"/>
  <c r="AT244"/>
  <c r="AS244"/>
  <c r="AR244"/>
  <c r="AQ244"/>
  <c r="AP244"/>
  <c r="AO244"/>
  <c r="AN244"/>
  <c r="AM244"/>
  <c r="AL244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F244"/>
  <c r="E244"/>
  <c r="D244"/>
  <c r="C244"/>
  <c r="B244"/>
  <c r="A244"/>
  <c r="CJ243"/>
  <c r="CI243"/>
  <c r="CH243"/>
  <c r="CG243"/>
  <c r="CF243"/>
  <c r="CE243"/>
  <c r="CD243"/>
  <c r="CC243"/>
  <c r="CB243"/>
  <c r="CA243"/>
  <c r="BZ243"/>
  <c r="BY243"/>
  <c r="BX243"/>
  <c r="BW243"/>
  <c r="BV243"/>
  <c r="BU243"/>
  <c r="BT243"/>
  <c r="BS243"/>
  <c r="BR243"/>
  <c r="BQ243"/>
  <c r="BP243"/>
  <c r="BO243"/>
  <c r="BN243"/>
  <c r="BM243"/>
  <c r="BL243"/>
  <c r="BK243"/>
  <c r="BJ243"/>
  <c r="BI243"/>
  <c r="BH243"/>
  <c r="BG243"/>
  <c r="BF243"/>
  <c r="BE243"/>
  <c r="BD243"/>
  <c r="BC243"/>
  <c r="BB243"/>
  <c r="BA243"/>
  <c r="AZ243"/>
  <c r="AY243"/>
  <c r="AX243"/>
  <c r="AW243"/>
  <c r="AV243"/>
  <c r="AU243"/>
  <c r="AT243"/>
  <c r="AS243"/>
  <c r="AR243"/>
  <c r="AQ243"/>
  <c r="AP243"/>
  <c r="AO243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E243"/>
  <c r="D243"/>
  <c r="C243"/>
  <c r="B243"/>
  <c r="A243"/>
  <c r="CJ242"/>
  <c r="CI242"/>
  <c r="CH242"/>
  <c r="CG242"/>
  <c r="CF242"/>
  <c r="CE242"/>
  <c r="CD242"/>
  <c r="CC242"/>
  <c r="CB242"/>
  <c r="CA242"/>
  <c r="BZ242"/>
  <c r="BY242"/>
  <c r="BX242"/>
  <c r="BW242"/>
  <c r="BV242"/>
  <c r="BU242"/>
  <c r="BT242"/>
  <c r="BS242"/>
  <c r="BR242"/>
  <c r="BQ242"/>
  <c r="BP242"/>
  <c r="BO242"/>
  <c r="BN242"/>
  <c r="BM242"/>
  <c r="BL242"/>
  <c r="BK242"/>
  <c r="BJ242"/>
  <c r="BI242"/>
  <c r="BH242"/>
  <c r="BG242"/>
  <c r="BF242"/>
  <c r="BE242"/>
  <c r="BD242"/>
  <c r="BC242"/>
  <c r="BB242"/>
  <c r="BA242"/>
  <c r="AZ242"/>
  <c r="AY242"/>
  <c r="AX242"/>
  <c r="AW242"/>
  <c r="AV242"/>
  <c r="AU242"/>
  <c r="AT242"/>
  <c r="AS242"/>
  <c r="AR242"/>
  <c r="AQ242"/>
  <c r="AP242"/>
  <c r="AO242"/>
  <c r="AN242"/>
  <c r="AM242"/>
  <c r="AL242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F242"/>
  <c r="E242"/>
  <c r="D242"/>
  <c r="C242"/>
  <c r="B242"/>
  <c r="A242"/>
  <c r="CJ241"/>
  <c r="CI241"/>
  <c r="CH241"/>
  <c r="CG241"/>
  <c r="CF241"/>
  <c r="CE241"/>
  <c r="CD241"/>
  <c r="CC241"/>
  <c r="CB241"/>
  <c r="CA241"/>
  <c r="BZ241"/>
  <c r="BY241"/>
  <c r="BX241"/>
  <c r="BW241"/>
  <c r="BV241"/>
  <c r="BU241"/>
  <c r="BT241"/>
  <c r="BS241"/>
  <c r="BR241"/>
  <c r="BQ241"/>
  <c r="BP241"/>
  <c r="BO241"/>
  <c r="BN241"/>
  <c r="BM241"/>
  <c r="BL241"/>
  <c r="BK241"/>
  <c r="BJ241"/>
  <c r="BI241"/>
  <c r="BH241"/>
  <c r="BG241"/>
  <c r="BF241"/>
  <c r="BE241"/>
  <c r="BD241"/>
  <c r="BC241"/>
  <c r="BB241"/>
  <c r="BA241"/>
  <c r="AZ241"/>
  <c r="AY241"/>
  <c r="AX241"/>
  <c r="AW241"/>
  <c r="AV241"/>
  <c r="AU241"/>
  <c r="AT241"/>
  <c r="AS241"/>
  <c r="AR241"/>
  <c r="AQ241"/>
  <c r="AP241"/>
  <c r="AO241"/>
  <c r="AN241"/>
  <c r="AM241"/>
  <c r="AL241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F241"/>
  <c r="E241"/>
  <c r="D241"/>
  <c r="C241"/>
  <c r="B241"/>
  <c r="A241"/>
  <c r="CJ240"/>
  <c r="CI240"/>
  <c r="CH240"/>
  <c r="CG240"/>
  <c r="CF240"/>
  <c r="CE240"/>
  <c r="CD240"/>
  <c r="CC240"/>
  <c r="CB240"/>
  <c r="CA240"/>
  <c r="BZ240"/>
  <c r="BY240"/>
  <c r="BX240"/>
  <c r="BW240"/>
  <c r="BV240"/>
  <c r="BU240"/>
  <c r="BT240"/>
  <c r="BS240"/>
  <c r="BR240"/>
  <c r="BQ240"/>
  <c r="BP240"/>
  <c r="BO240"/>
  <c r="BN240"/>
  <c r="BM240"/>
  <c r="BL240"/>
  <c r="BK240"/>
  <c r="BJ240"/>
  <c r="BI240"/>
  <c r="BH240"/>
  <c r="BG240"/>
  <c r="BF240"/>
  <c r="BE240"/>
  <c r="BD240"/>
  <c r="BC240"/>
  <c r="BB240"/>
  <c r="BA240"/>
  <c r="AZ240"/>
  <c r="AY240"/>
  <c r="AX240"/>
  <c r="AW240"/>
  <c r="AV240"/>
  <c r="AU240"/>
  <c r="AT240"/>
  <c r="AS240"/>
  <c r="AR240"/>
  <c r="AQ240"/>
  <c r="AP240"/>
  <c r="AO240"/>
  <c r="AN240"/>
  <c r="AM240"/>
  <c r="AL240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F240"/>
  <c r="E240"/>
  <c r="D240"/>
  <c r="C240"/>
  <c r="B240"/>
  <c r="A240"/>
  <c r="CJ239"/>
  <c r="CI239"/>
  <c r="CH239"/>
  <c r="CG239"/>
  <c r="CF239"/>
  <c r="CE239"/>
  <c r="CD239"/>
  <c r="CC239"/>
  <c r="CB239"/>
  <c r="CA239"/>
  <c r="BZ239"/>
  <c r="BY239"/>
  <c r="BX239"/>
  <c r="BW239"/>
  <c r="BV239"/>
  <c r="BU239"/>
  <c r="BT239"/>
  <c r="BS239"/>
  <c r="BR239"/>
  <c r="BQ239"/>
  <c r="BP239"/>
  <c r="BO239"/>
  <c r="BN239"/>
  <c r="BM239"/>
  <c r="BL239"/>
  <c r="BK239"/>
  <c r="BJ239"/>
  <c r="BI239"/>
  <c r="BH239"/>
  <c r="BG239"/>
  <c r="BF239"/>
  <c r="BE239"/>
  <c r="BD239"/>
  <c r="BC239"/>
  <c r="BB239"/>
  <c r="BA239"/>
  <c r="AZ239"/>
  <c r="AY239"/>
  <c r="AX239"/>
  <c r="AW239"/>
  <c r="AV239"/>
  <c r="AU239"/>
  <c r="AT239"/>
  <c r="AS239"/>
  <c r="AR239"/>
  <c r="AQ239"/>
  <c r="AP239"/>
  <c r="AO239"/>
  <c r="AN239"/>
  <c r="AM239"/>
  <c r="AL239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F239"/>
  <c r="E239"/>
  <c r="D239"/>
  <c r="C239"/>
  <c r="B239"/>
  <c r="A239"/>
  <c r="CJ238"/>
  <c r="CI238"/>
  <c r="CH238"/>
  <c r="CG238"/>
  <c r="CF238"/>
  <c r="CE238"/>
  <c r="CD238"/>
  <c r="CC238"/>
  <c r="CB238"/>
  <c r="CA238"/>
  <c r="BZ238"/>
  <c r="BY238"/>
  <c r="BX238"/>
  <c r="BW238"/>
  <c r="BV238"/>
  <c r="BU238"/>
  <c r="BT238"/>
  <c r="BS238"/>
  <c r="BR238"/>
  <c r="BQ238"/>
  <c r="BP238"/>
  <c r="BO238"/>
  <c r="BN238"/>
  <c r="BM238"/>
  <c r="BL238"/>
  <c r="BK238"/>
  <c r="BJ238"/>
  <c r="BI238"/>
  <c r="BH238"/>
  <c r="BG238"/>
  <c r="BF238"/>
  <c r="BE238"/>
  <c r="BD238"/>
  <c r="BC238"/>
  <c r="BB238"/>
  <c r="BA238"/>
  <c r="AZ238"/>
  <c r="AY238"/>
  <c r="AX238"/>
  <c r="AW238"/>
  <c r="AV238"/>
  <c r="AU238"/>
  <c r="AT238"/>
  <c r="AS238"/>
  <c r="AR238"/>
  <c r="AQ238"/>
  <c r="AP238"/>
  <c r="AO238"/>
  <c r="AN238"/>
  <c r="AM238"/>
  <c r="AL238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F238"/>
  <c r="E238"/>
  <c r="D238"/>
  <c r="C238"/>
  <c r="B238"/>
  <c r="A238"/>
  <c r="CJ237"/>
  <c r="CI237"/>
  <c r="CH237"/>
  <c r="CG237"/>
  <c r="CF237"/>
  <c r="CE237"/>
  <c r="CD237"/>
  <c r="CC237"/>
  <c r="CB237"/>
  <c r="CA237"/>
  <c r="BZ237"/>
  <c r="BY237"/>
  <c r="BX237"/>
  <c r="BW237"/>
  <c r="BV237"/>
  <c r="BU237"/>
  <c r="BT237"/>
  <c r="BS237"/>
  <c r="BR237"/>
  <c r="BQ237"/>
  <c r="BP237"/>
  <c r="BO237"/>
  <c r="BN237"/>
  <c r="BM237"/>
  <c r="BL237"/>
  <c r="BK237"/>
  <c r="BJ237"/>
  <c r="BI237"/>
  <c r="BH237"/>
  <c r="BG237"/>
  <c r="BF237"/>
  <c r="BE237"/>
  <c r="BD237"/>
  <c r="BC237"/>
  <c r="BB237"/>
  <c r="BA237"/>
  <c r="AZ237"/>
  <c r="AY237"/>
  <c r="AX237"/>
  <c r="AW237"/>
  <c r="AV237"/>
  <c r="AU237"/>
  <c r="AT237"/>
  <c r="AS237"/>
  <c r="AR237"/>
  <c r="AQ237"/>
  <c r="AP237"/>
  <c r="AO237"/>
  <c r="AN237"/>
  <c r="AM237"/>
  <c r="AL237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F237"/>
  <c r="E237"/>
  <c r="D237"/>
  <c r="C237"/>
  <c r="B237"/>
  <c r="A237"/>
  <c r="CJ236"/>
  <c r="CI236"/>
  <c r="CH236"/>
  <c r="CG236"/>
  <c r="CF236"/>
  <c r="CE236"/>
  <c r="CD236"/>
  <c r="CC236"/>
  <c r="CB236"/>
  <c r="CA236"/>
  <c r="BZ236"/>
  <c r="BY236"/>
  <c r="BX236"/>
  <c r="BW236"/>
  <c r="BV236"/>
  <c r="BU236"/>
  <c r="BT236"/>
  <c r="BS236"/>
  <c r="BR236"/>
  <c r="BQ236"/>
  <c r="BP236"/>
  <c r="BO236"/>
  <c r="BN236"/>
  <c r="BM236"/>
  <c r="BL236"/>
  <c r="BK236"/>
  <c r="BJ236"/>
  <c r="BI236"/>
  <c r="BH236"/>
  <c r="BG236"/>
  <c r="BF236"/>
  <c r="BE236"/>
  <c r="BD236"/>
  <c r="BC236"/>
  <c r="BB236"/>
  <c r="BA236"/>
  <c r="AZ236"/>
  <c r="AY236"/>
  <c r="AX236"/>
  <c r="AW236"/>
  <c r="AV236"/>
  <c r="AU236"/>
  <c r="AT236"/>
  <c r="AS236"/>
  <c r="AR236"/>
  <c r="AQ236"/>
  <c r="AP236"/>
  <c r="AO236"/>
  <c r="AN236"/>
  <c r="AM236"/>
  <c r="AL236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F236"/>
  <c r="E236"/>
  <c r="D236"/>
  <c r="C236"/>
  <c r="B236"/>
  <c r="A236"/>
  <c r="CJ235"/>
  <c r="CI235"/>
  <c r="CH235"/>
  <c r="CG235"/>
  <c r="CF235"/>
  <c r="CE235"/>
  <c r="CD235"/>
  <c r="CC235"/>
  <c r="CB235"/>
  <c r="CA235"/>
  <c r="BZ235"/>
  <c r="BY235"/>
  <c r="BX235"/>
  <c r="BW235"/>
  <c r="BV235"/>
  <c r="BU235"/>
  <c r="BT235"/>
  <c r="BS235"/>
  <c r="BR235"/>
  <c r="BQ235"/>
  <c r="BP235"/>
  <c r="BO235"/>
  <c r="BN235"/>
  <c r="BM235"/>
  <c r="BL235"/>
  <c r="BK235"/>
  <c r="BJ235"/>
  <c r="BI235"/>
  <c r="BH235"/>
  <c r="BG235"/>
  <c r="BF235"/>
  <c r="BE235"/>
  <c r="BD235"/>
  <c r="BC235"/>
  <c r="BB235"/>
  <c r="BA235"/>
  <c r="AZ235"/>
  <c r="AY235"/>
  <c r="AX235"/>
  <c r="AW235"/>
  <c r="AV235"/>
  <c r="AU235"/>
  <c r="AT235"/>
  <c r="AS235"/>
  <c r="AR235"/>
  <c r="AQ235"/>
  <c r="AP235"/>
  <c r="AO235"/>
  <c r="AN235"/>
  <c r="AM235"/>
  <c r="AL235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F235"/>
  <c r="E235"/>
  <c r="D235"/>
  <c r="C235"/>
  <c r="B235"/>
  <c r="A235"/>
  <c r="CJ234"/>
  <c r="CI234"/>
  <c r="CH234"/>
  <c r="CG234"/>
  <c r="CF234"/>
  <c r="CE234"/>
  <c r="CD234"/>
  <c r="CC234"/>
  <c r="CB234"/>
  <c r="CA234"/>
  <c r="BZ234"/>
  <c r="BY234"/>
  <c r="BX234"/>
  <c r="BW234"/>
  <c r="BV234"/>
  <c r="BU234"/>
  <c r="BT234"/>
  <c r="BS234"/>
  <c r="BR234"/>
  <c r="BQ234"/>
  <c r="BP234"/>
  <c r="BO234"/>
  <c r="BN234"/>
  <c r="BM234"/>
  <c r="BL234"/>
  <c r="BK234"/>
  <c r="BJ234"/>
  <c r="BI234"/>
  <c r="BH234"/>
  <c r="BG234"/>
  <c r="BF234"/>
  <c r="BE234"/>
  <c r="BD234"/>
  <c r="BC234"/>
  <c r="BB234"/>
  <c r="BA234"/>
  <c r="AZ234"/>
  <c r="AY234"/>
  <c r="AX234"/>
  <c r="AW234"/>
  <c r="AV234"/>
  <c r="AU234"/>
  <c r="AT234"/>
  <c r="AS234"/>
  <c r="AR234"/>
  <c r="AQ234"/>
  <c r="AP234"/>
  <c r="AO234"/>
  <c r="AN234"/>
  <c r="AM234"/>
  <c r="AL234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B234"/>
  <c r="A234"/>
  <c r="CJ233"/>
  <c r="CI233"/>
  <c r="CH233"/>
  <c r="CG233"/>
  <c r="CF233"/>
  <c r="CE233"/>
  <c r="CD233"/>
  <c r="CC233"/>
  <c r="CB233"/>
  <c r="CA233"/>
  <c r="BZ233"/>
  <c r="BY233"/>
  <c r="BX233"/>
  <c r="BW233"/>
  <c r="BV233"/>
  <c r="BU233"/>
  <c r="BT233"/>
  <c r="BS233"/>
  <c r="BR233"/>
  <c r="BQ233"/>
  <c r="BP233"/>
  <c r="BO233"/>
  <c r="BN233"/>
  <c r="BM233"/>
  <c r="BL233"/>
  <c r="BK233"/>
  <c r="BJ233"/>
  <c r="BI233"/>
  <c r="BH233"/>
  <c r="BG233"/>
  <c r="BF233"/>
  <c r="BE233"/>
  <c r="BD233"/>
  <c r="BC233"/>
  <c r="BB233"/>
  <c r="BA233"/>
  <c r="AZ233"/>
  <c r="AY233"/>
  <c r="AX233"/>
  <c r="AW233"/>
  <c r="AV233"/>
  <c r="AU233"/>
  <c r="AT233"/>
  <c r="AS233"/>
  <c r="AR233"/>
  <c r="AQ233"/>
  <c r="AP233"/>
  <c r="AO233"/>
  <c r="AN233"/>
  <c r="AM233"/>
  <c r="AL233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F233"/>
  <c r="E233"/>
  <c r="D233"/>
  <c r="C233"/>
  <c r="B233"/>
  <c r="A233"/>
  <c r="CJ232"/>
  <c r="CI232"/>
  <c r="CH232"/>
  <c r="CG232"/>
  <c r="CF232"/>
  <c r="CE232"/>
  <c r="CD232"/>
  <c r="CC232"/>
  <c r="CB232"/>
  <c r="CA232"/>
  <c r="BZ232"/>
  <c r="BY232"/>
  <c r="BX232"/>
  <c r="BW232"/>
  <c r="BV232"/>
  <c r="BU232"/>
  <c r="BT232"/>
  <c r="BS232"/>
  <c r="BR232"/>
  <c r="BQ232"/>
  <c r="BP232"/>
  <c r="BO232"/>
  <c r="BN232"/>
  <c r="BM232"/>
  <c r="BL232"/>
  <c r="BK232"/>
  <c r="BJ232"/>
  <c r="BI232"/>
  <c r="BH232"/>
  <c r="BG232"/>
  <c r="BF232"/>
  <c r="BE232"/>
  <c r="BD232"/>
  <c r="BC232"/>
  <c r="BB232"/>
  <c r="BA232"/>
  <c r="AZ232"/>
  <c r="AY232"/>
  <c r="AX232"/>
  <c r="AW232"/>
  <c r="AV232"/>
  <c r="AU232"/>
  <c r="AT232"/>
  <c r="AS232"/>
  <c r="AR232"/>
  <c r="AQ232"/>
  <c r="AP232"/>
  <c r="AO232"/>
  <c r="AN232"/>
  <c r="AM232"/>
  <c r="AL232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F232"/>
  <c r="E232"/>
  <c r="D232"/>
  <c r="C232"/>
  <c r="B232"/>
  <c r="A232"/>
  <c r="CJ231"/>
  <c r="CI231"/>
  <c r="CH231"/>
  <c r="CG231"/>
  <c r="CF231"/>
  <c r="CE231"/>
  <c r="CD231"/>
  <c r="CC231"/>
  <c r="CB231"/>
  <c r="CA231"/>
  <c r="BZ231"/>
  <c r="BY231"/>
  <c r="BX231"/>
  <c r="BW231"/>
  <c r="BV231"/>
  <c r="BU231"/>
  <c r="BT231"/>
  <c r="BS231"/>
  <c r="BR231"/>
  <c r="BQ231"/>
  <c r="BP231"/>
  <c r="BO231"/>
  <c r="BN231"/>
  <c r="BM231"/>
  <c r="BL231"/>
  <c r="BK231"/>
  <c r="BJ231"/>
  <c r="BI231"/>
  <c r="BH231"/>
  <c r="BG231"/>
  <c r="BF231"/>
  <c r="BE231"/>
  <c r="BD231"/>
  <c r="BC231"/>
  <c r="BB231"/>
  <c r="BA231"/>
  <c r="AZ231"/>
  <c r="AY231"/>
  <c r="AX231"/>
  <c r="AW231"/>
  <c r="AV231"/>
  <c r="AU231"/>
  <c r="AT231"/>
  <c r="AS231"/>
  <c r="AR231"/>
  <c r="AQ231"/>
  <c r="AP231"/>
  <c r="AO231"/>
  <c r="AN231"/>
  <c r="AM231"/>
  <c r="AL231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F231"/>
  <c r="E231"/>
  <c r="D231"/>
  <c r="C231"/>
  <c r="B231"/>
  <c r="A231"/>
  <c r="CJ230"/>
  <c r="CI230"/>
  <c r="CH230"/>
  <c r="CG230"/>
  <c r="CF230"/>
  <c r="CE230"/>
  <c r="CD230"/>
  <c r="CC230"/>
  <c r="CB230"/>
  <c r="CA230"/>
  <c r="BZ230"/>
  <c r="BY230"/>
  <c r="BX230"/>
  <c r="BW230"/>
  <c r="BV230"/>
  <c r="BU230"/>
  <c r="BT230"/>
  <c r="BS230"/>
  <c r="BR230"/>
  <c r="BQ230"/>
  <c r="BP230"/>
  <c r="BO230"/>
  <c r="BN230"/>
  <c r="BM230"/>
  <c r="BL230"/>
  <c r="BK230"/>
  <c r="BJ230"/>
  <c r="BI230"/>
  <c r="BH230"/>
  <c r="BG230"/>
  <c r="BF230"/>
  <c r="BE230"/>
  <c r="BD230"/>
  <c r="BC230"/>
  <c r="BB230"/>
  <c r="BA230"/>
  <c r="AZ230"/>
  <c r="AY230"/>
  <c r="AX230"/>
  <c r="AW230"/>
  <c r="AV230"/>
  <c r="AU230"/>
  <c r="AT230"/>
  <c r="AS230"/>
  <c r="AR230"/>
  <c r="AQ230"/>
  <c r="AP230"/>
  <c r="AO230"/>
  <c r="AN230"/>
  <c r="AM230"/>
  <c r="AL230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F230"/>
  <c r="E230"/>
  <c r="D230"/>
  <c r="C230"/>
  <c r="B230"/>
  <c r="A230"/>
  <c r="CJ229"/>
  <c r="CI229"/>
  <c r="CH229"/>
  <c r="CG229"/>
  <c r="CF229"/>
  <c r="CE229"/>
  <c r="CD229"/>
  <c r="CC229"/>
  <c r="CB229"/>
  <c r="CA229"/>
  <c r="BZ229"/>
  <c r="BY229"/>
  <c r="BX229"/>
  <c r="BW229"/>
  <c r="BV229"/>
  <c r="BU229"/>
  <c r="BT229"/>
  <c r="BS229"/>
  <c r="BR229"/>
  <c r="BQ229"/>
  <c r="BP229"/>
  <c r="BO229"/>
  <c r="BN229"/>
  <c r="BM229"/>
  <c r="BL229"/>
  <c r="BK229"/>
  <c r="BJ229"/>
  <c r="BI229"/>
  <c r="BH229"/>
  <c r="BG229"/>
  <c r="BF229"/>
  <c r="BE229"/>
  <c r="BD229"/>
  <c r="BC229"/>
  <c r="BB229"/>
  <c r="BA229"/>
  <c r="AZ229"/>
  <c r="AY229"/>
  <c r="AX229"/>
  <c r="AW229"/>
  <c r="AV229"/>
  <c r="AU229"/>
  <c r="AT229"/>
  <c r="AS229"/>
  <c r="AR229"/>
  <c r="AQ229"/>
  <c r="AP229"/>
  <c r="AO229"/>
  <c r="AN229"/>
  <c r="AM229"/>
  <c r="AL229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F229"/>
  <c r="E229"/>
  <c r="D229"/>
  <c r="C229"/>
  <c r="B229"/>
  <c r="A229"/>
  <c r="CJ228"/>
  <c r="CI228"/>
  <c r="CH228"/>
  <c r="CG228"/>
  <c r="CF228"/>
  <c r="CE228"/>
  <c r="CD228"/>
  <c r="CC228"/>
  <c r="CB228"/>
  <c r="CA228"/>
  <c r="BZ228"/>
  <c r="BY228"/>
  <c r="BX228"/>
  <c r="BW228"/>
  <c r="BV228"/>
  <c r="BU228"/>
  <c r="BT228"/>
  <c r="BS228"/>
  <c r="BR228"/>
  <c r="BQ228"/>
  <c r="BP228"/>
  <c r="BO228"/>
  <c r="BN228"/>
  <c r="BM228"/>
  <c r="BL228"/>
  <c r="BK228"/>
  <c r="BJ228"/>
  <c r="BI228"/>
  <c r="BH228"/>
  <c r="BG228"/>
  <c r="BF228"/>
  <c r="BE228"/>
  <c r="BD228"/>
  <c r="BC228"/>
  <c r="BB228"/>
  <c r="BA228"/>
  <c r="AZ228"/>
  <c r="AY228"/>
  <c r="AX228"/>
  <c r="AW228"/>
  <c r="AV228"/>
  <c r="AU228"/>
  <c r="AT228"/>
  <c r="AS228"/>
  <c r="AR228"/>
  <c r="AQ228"/>
  <c r="AP228"/>
  <c r="AO228"/>
  <c r="AN228"/>
  <c r="AM228"/>
  <c r="AL228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F228"/>
  <c r="E228"/>
  <c r="D228"/>
  <c r="C228"/>
  <c r="B228"/>
  <c r="A228"/>
  <c r="CJ227"/>
  <c r="CI227"/>
  <c r="CH227"/>
  <c r="CG227"/>
  <c r="CF227"/>
  <c r="CE227"/>
  <c r="CD227"/>
  <c r="CC227"/>
  <c r="CB227"/>
  <c r="CA227"/>
  <c r="BZ227"/>
  <c r="BY227"/>
  <c r="BX227"/>
  <c r="BW227"/>
  <c r="BV227"/>
  <c r="BU227"/>
  <c r="BT227"/>
  <c r="BS227"/>
  <c r="BR227"/>
  <c r="BQ227"/>
  <c r="BP227"/>
  <c r="BO227"/>
  <c r="BN227"/>
  <c r="BM227"/>
  <c r="BL227"/>
  <c r="BK227"/>
  <c r="BJ227"/>
  <c r="BI227"/>
  <c r="BH227"/>
  <c r="BG227"/>
  <c r="BF227"/>
  <c r="BE227"/>
  <c r="BD227"/>
  <c r="BC227"/>
  <c r="BB227"/>
  <c r="BA227"/>
  <c r="AZ227"/>
  <c r="AY227"/>
  <c r="AX227"/>
  <c r="AW227"/>
  <c r="AV227"/>
  <c r="AU227"/>
  <c r="AT227"/>
  <c r="AS227"/>
  <c r="AR227"/>
  <c r="AQ227"/>
  <c r="AP227"/>
  <c r="AO227"/>
  <c r="AN227"/>
  <c r="AM227"/>
  <c r="AL227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C227"/>
  <c r="B227"/>
  <c r="A227"/>
  <c r="CJ226"/>
  <c r="CI226"/>
  <c r="CH226"/>
  <c r="CG226"/>
  <c r="CF226"/>
  <c r="CE226"/>
  <c r="CD226"/>
  <c r="CC226"/>
  <c r="CB226"/>
  <c r="CA226"/>
  <c r="BZ226"/>
  <c r="BY226"/>
  <c r="BX226"/>
  <c r="BW226"/>
  <c r="BV226"/>
  <c r="BU226"/>
  <c r="BT226"/>
  <c r="BS226"/>
  <c r="BR226"/>
  <c r="BQ226"/>
  <c r="BP226"/>
  <c r="BO226"/>
  <c r="BN226"/>
  <c r="BM226"/>
  <c r="BL226"/>
  <c r="BK226"/>
  <c r="BJ226"/>
  <c r="BI226"/>
  <c r="BH226"/>
  <c r="BG226"/>
  <c r="BF226"/>
  <c r="BE226"/>
  <c r="BD226"/>
  <c r="BC226"/>
  <c r="BB226"/>
  <c r="BA226"/>
  <c r="AZ226"/>
  <c r="AY226"/>
  <c r="AX226"/>
  <c r="AW226"/>
  <c r="AV226"/>
  <c r="AU226"/>
  <c r="AT226"/>
  <c r="AS226"/>
  <c r="AR226"/>
  <c r="AQ226"/>
  <c r="AP226"/>
  <c r="AO226"/>
  <c r="AN226"/>
  <c r="AM226"/>
  <c r="AL226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F226"/>
  <c r="E226"/>
  <c r="D226"/>
  <c r="C226"/>
  <c r="B226"/>
  <c r="A226"/>
  <c r="CJ225"/>
  <c r="CI225"/>
  <c r="CH225"/>
  <c r="CG225"/>
  <c r="CF225"/>
  <c r="CE225"/>
  <c r="CD225"/>
  <c r="CC225"/>
  <c r="CB225"/>
  <c r="CA225"/>
  <c r="BZ225"/>
  <c r="BY225"/>
  <c r="BX225"/>
  <c r="BW225"/>
  <c r="BV225"/>
  <c r="BU225"/>
  <c r="BT225"/>
  <c r="BS225"/>
  <c r="BR225"/>
  <c r="BQ225"/>
  <c r="BP225"/>
  <c r="BO225"/>
  <c r="BN225"/>
  <c r="BM225"/>
  <c r="BL225"/>
  <c r="BK225"/>
  <c r="BJ225"/>
  <c r="BI225"/>
  <c r="BH225"/>
  <c r="BG225"/>
  <c r="BF225"/>
  <c r="BE225"/>
  <c r="BD225"/>
  <c r="BC225"/>
  <c r="BB225"/>
  <c r="BA225"/>
  <c r="AZ225"/>
  <c r="AY225"/>
  <c r="AX225"/>
  <c r="AW225"/>
  <c r="AV225"/>
  <c r="AU225"/>
  <c r="AT225"/>
  <c r="AS225"/>
  <c r="AR225"/>
  <c r="AQ225"/>
  <c r="AP225"/>
  <c r="AO225"/>
  <c r="AN225"/>
  <c r="AM225"/>
  <c r="AL225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F225"/>
  <c r="E225"/>
  <c r="D225"/>
  <c r="C225"/>
  <c r="B225"/>
  <c r="A225"/>
  <c r="CJ224"/>
  <c r="CI224"/>
  <c r="CH224"/>
  <c r="CG224"/>
  <c r="CF224"/>
  <c r="CE224"/>
  <c r="CD224"/>
  <c r="CC224"/>
  <c r="CB224"/>
  <c r="CA224"/>
  <c r="BZ224"/>
  <c r="BY224"/>
  <c r="BX224"/>
  <c r="BW224"/>
  <c r="BV224"/>
  <c r="BU224"/>
  <c r="BT224"/>
  <c r="BS224"/>
  <c r="BR224"/>
  <c r="BQ224"/>
  <c r="BP224"/>
  <c r="BO224"/>
  <c r="BN224"/>
  <c r="BM224"/>
  <c r="BL224"/>
  <c r="BK224"/>
  <c r="BJ224"/>
  <c r="BI224"/>
  <c r="BH224"/>
  <c r="BG224"/>
  <c r="BF224"/>
  <c r="BE224"/>
  <c r="BD224"/>
  <c r="BC224"/>
  <c r="BB224"/>
  <c r="BA224"/>
  <c r="AZ224"/>
  <c r="AY224"/>
  <c r="AX224"/>
  <c r="AW224"/>
  <c r="AV224"/>
  <c r="AU224"/>
  <c r="AT224"/>
  <c r="AS224"/>
  <c r="AR224"/>
  <c r="AQ224"/>
  <c r="AP224"/>
  <c r="AO224"/>
  <c r="AN224"/>
  <c r="AM224"/>
  <c r="AL224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F224"/>
  <c r="E224"/>
  <c r="D224"/>
  <c r="C224"/>
  <c r="B224"/>
  <c r="A224"/>
  <c r="CJ223"/>
  <c r="CI223"/>
  <c r="CH223"/>
  <c r="CG223"/>
  <c r="CF223"/>
  <c r="CE223"/>
  <c r="CD223"/>
  <c r="CC223"/>
  <c r="CB223"/>
  <c r="CA223"/>
  <c r="BZ223"/>
  <c r="BY223"/>
  <c r="BX223"/>
  <c r="BW223"/>
  <c r="BV223"/>
  <c r="BU223"/>
  <c r="BT223"/>
  <c r="BS223"/>
  <c r="BR223"/>
  <c r="BQ223"/>
  <c r="BP223"/>
  <c r="BO223"/>
  <c r="BN223"/>
  <c r="BM223"/>
  <c r="BL223"/>
  <c r="BK223"/>
  <c r="BJ223"/>
  <c r="BI223"/>
  <c r="BH223"/>
  <c r="BG223"/>
  <c r="BF223"/>
  <c r="BE223"/>
  <c r="BD223"/>
  <c r="BC223"/>
  <c r="BB223"/>
  <c r="BA223"/>
  <c r="AZ223"/>
  <c r="AY223"/>
  <c r="AX223"/>
  <c r="AW223"/>
  <c r="AV223"/>
  <c r="AU223"/>
  <c r="AT223"/>
  <c r="AS223"/>
  <c r="AR223"/>
  <c r="AQ223"/>
  <c r="AP223"/>
  <c r="AO223"/>
  <c r="AN223"/>
  <c r="AM223"/>
  <c r="AL223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F223"/>
  <c r="E223"/>
  <c r="D223"/>
  <c r="C223"/>
  <c r="B223"/>
  <c r="A223"/>
  <c r="CJ222"/>
  <c r="CI222"/>
  <c r="CH222"/>
  <c r="CG222"/>
  <c r="CF222"/>
  <c r="CE222"/>
  <c r="CD222"/>
  <c r="CC222"/>
  <c r="CB222"/>
  <c r="CA222"/>
  <c r="BZ222"/>
  <c r="BY222"/>
  <c r="BX222"/>
  <c r="BW222"/>
  <c r="BV222"/>
  <c r="BU222"/>
  <c r="BT222"/>
  <c r="BS222"/>
  <c r="BR222"/>
  <c r="BQ222"/>
  <c r="BP222"/>
  <c r="BO222"/>
  <c r="BN222"/>
  <c r="BM222"/>
  <c r="BL222"/>
  <c r="BK222"/>
  <c r="BJ222"/>
  <c r="BI222"/>
  <c r="BH222"/>
  <c r="BG222"/>
  <c r="BF222"/>
  <c r="BE222"/>
  <c r="BD222"/>
  <c r="BC222"/>
  <c r="BB222"/>
  <c r="BA222"/>
  <c r="AZ222"/>
  <c r="AY222"/>
  <c r="AX222"/>
  <c r="AW222"/>
  <c r="AV222"/>
  <c r="AU222"/>
  <c r="AT222"/>
  <c r="AS222"/>
  <c r="AR222"/>
  <c r="AQ222"/>
  <c r="AP222"/>
  <c r="AO222"/>
  <c r="AN222"/>
  <c r="AM222"/>
  <c r="AL222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F222"/>
  <c r="E222"/>
  <c r="D222"/>
  <c r="C222"/>
  <c r="B222"/>
  <c r="A222"/>
  <c r="CJ221"/>
  <c r="CI221"/>
  <c r="CH221"/>
  <c r="CG221"/>
  <c r="CF221"/>
  <c r="CE221"/>
  <c r="CD221"/>
  <c r="CC221"/>
  <c r="CB221"/>
  <c r="CA221"/>
  <c r="BZ221"/>
  <c r="BY221"/>
  <c r="BX221"/>
  <c r="BW221"/>
  <c r="BV221"/>
  <c r="BU221"/>
  <c r="BT221"/>
  <c r="BS221"/>
  <c r="BR221"/>
  <c r="BQ221"/>
  <c r="BP221"/>
  <c r="BO221"/>
  <c r="BN221"/>
  <c r="BM221"/>
  <c r="BL221"/>
  <c r="BK221"/>
  <c r="BJ221"/>
  <c r="BI221"/>
  <c r="BH221"/>
  <c r="BG221"/>
  <c r="BF221"/>
  <c r="BE221"/>
  <c r="BD221"/>
  <c r="BC221"/>
  <c r="BB221"/>
  <c r="BA221"/>
  <c r="AZ221"/>
  <c r="AY221"/>
  <c r="AX221"/>
  <c r="AW221"/>
  <c r="AV221"/>
  <c r="AU221"/>
  <c r="AT221"/>
  <c r="AS221"/>
  <c r="AR221"/>
  <c r="AQ221"/>
  <c r="AP221"/>
  <c r="AO221"/>
  <c r="AN221"/>
  <c r="AM221"/>
  <c r="AL221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F221"/>
  <c r="E221"/>
  <c r="D221"/>
  <c r="C221"/>
  <c r="B221"/>
  <c r="A221"/>
  <c r="CJ220"/>
  <c r="CI220"/>
  <c r="CH220"/>
  <c r="CG220"/>
  <c r="CF220"/>
  <c r="CE220"/>
  <c r="CD220"/>
  <c r="CC220"/>
  <c r="CB220"/>
  <c r="CA220"/>
  <c r="BZ220"/>
  <c r="BY220"/>
  <c r="BX220"/>
  <c r="BW220"/>
  <c r="BV220"/>
  <c r="BU220"/>
  <c r="BT220"/>
  <c r="BS220"/>
  <c r="BR220"/>
  <c r="BQ220"/>
  <c r="BP220"/>
  <c r="BO220"/>
  <c r="BN220"/>
  <c r="BM220"/>
  <c r="BL220"/>
  <c r="BK220"/>
  <c r="BJ220"/>
  <c r="BI220"/>
  <c r="BH220"/>
  <c r="BG220"/>
  <c r="BF220"/>
  <c r="BE220"/>
  <c r="BD220"/>
  <c r="BC220"/>
  <c r="BB220"/>
  <c r="BA220"/>
  <c r="AZ220"/>
  <c r="AY220"/>
  <c r="AX220"/>
  <c r="AW220"/>
  <c r="AV220"/>
  <c r="AU220"/>
  <c r="AT220"/>
  <c r="AS220"/>
  <c r="AR220"/>
  <c r="AQ220"/>
  <c r="AP220"/>
  <c r="AO220"/>
  <c r="AN220"/>
  <c r="AM220"/>
  <c r="AL220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F220"/>
  <c r="E220"/>
  <c r="D220"/>
  <c r="C220"/>
  <c r="B220"/>
  <c r="A220"/>
  <c r="CJ219"/>
  <c r="CI219"/>
  <c r="CH219"/>
  <c r="CG219"/>
  <c r="CF219"/>
  <c r="CE219"/>
  <c r="CD219"/>
  <c r="CC219"/>
  <c r="CB219"/>
  <c r="CA219"/>
  <c r="BZ219"/>
  <c r="BY219"/>
  <c r="BX219"/>
  <c r="BW219"/>
  <c r="BV219"/>
  <c r="BU219"/>
  <c r="BT219"/>
  <c r="BS219"/>
  <c r="BR219"/>
  <c r="BQ219"/>
  <c r="BP219"/>
  <c r="BO219"/>
  <c r="BN219"/>
  <c r="BM219"/>
  <c r="BL219"/>
  <c r="BK219"/>
  <c r="BJ219"/>
  <c r="BI219"/>
  <c r="BH219"/>
  <c r="BG219"/>
  <c r="BF219"/>
  <c r="BE219"/>
  <c r="BD219"/>
  <c r="BC219"/>
  <c r="BB219"/>
  <c r="BA219"/>
  <c r="AZ219"/>
  <c r="AY219"/>
  <c r="AX219"/>
  <c r="AW219"/>
  <c r="AV219"/>
  <c r="AU219"/>
  <c r="AT219"/>
  <c r="AS219"/>
  <c r="AR219"/>
  <c r="AQ219"/>
  <c r="AP219"/>
  <c r="AO219"/>
  <c r="AN219"/>
  <c r="AM219"/>
  <c r="AL219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E219"/>
  <c r="D219"/>
  <c r="C219"/>
  <c r="B219"/>
  <c r="A219"/>
  <c r="CJ218"/>
  <c r="CI218"/>
  <c r="CH218"/>
  <c r="CG218"/>
  <c r="CF218"/>
  <c r="CE218"/>
  <c r="CD218"/>
  <c r="CC218"/>
  <c r="CB218"/>
  <c r="CA218"/>
  <c r="BZ218"/>
  <c r="BY218"/>
  <c r="BX218"/>
  <c r="BW218"/>
  <c r="BV218"/>
  <c r="BU218"/>
  <c r="BT218"/>
  <c r="BS218"/>
  <c r="BR218"/>
  <c r="BQ218"/>
  <c r="BP218"/>
  <c r="BO218"/>
  <c r="BN218"/>
  <c r="BM218"/>
  <c r="BL218"/>
  <c r="BK218"/>
  <c r="BJ218"/>
  <c r="BI218"/>
  <c r="BH218"/>
  <c r="BG218"/>
  <c r="BF218"/>
  <c r="BE218"/>
  <c r="BD218"/>
  <c r="BC218"/>
  <c r="BB218"/>
  <c r="BA218"/>
  <c r="AZ218"/>
  <c r="AY218"/>
  <c r="AX218"/>
  <c r="AW218"/>
  <c r="AV218"/>
  <c r="AU218"/>
  <c r="AT218"/>
  <c r="AS218"/>
  <c r="AR218"/>
  <c r="AQ218"/>
  <c r="AP218"/>
  <c r="AO218"/>
  <c r="AN218"/>
  <c r="AM218"/>
  <c r="AL218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F218"/>
  <c r="E218"/>
  <c r="D218"/>
  <c r="C218"/>
  <c r="B218"/>
  <c r="A218"/>
  <c r="CJ217"/>
  <c r="CI217"/>
  <c r="CH217"/>
  <c r="CG217"/>
  <c r="CF217"/>
  <c r="CE217"/>
  <c r="CD217"/>
  <c r="CC217"/>
  <c r="CB217"/>
  <c r="CA217"/>
  <c r="BZ217"/>
  <c r="BY217"/>
  <c r="BX217"/>
  <c r="BW217"/>
  <c r="BV217"/>
  <c r="BU217"/>
  <c r="BT217"/>
  <c r="BS217"/>
  <c r="BR217"/>
  <c r="BQ217"/>
  <c r="BP217"/>
  <c r="BO217"/>
  <c r="BN217"/>
  <c r="BM217"/>
  <c r="BL217"/>
  <c r="BK217"/>
  <c r="BJ217"/>
  <c r="BI217"/>
  <c r="BH217"/>
  <c r="BG217"/>
  <c r="BF217"/>
  <c r="BE217"/>
  <c r="BD217"/>
  <c r="BC217"/>
  <c r="BB217"/>
  <c r="BA217"/>
  <c r="AZ217"/>
  <c r="AY217"/>
  <c r="AX217"/>
  <c r="AW217"/>
  <c r="AV217"/>
  <c r="AU217"/>
  <c r="AT217"/>
  <c r="AS217"/>
  <c r="AR217"/>
  <c r="AQ217"/>
  <c r="AP217"/>
  <c r="AO217"/>
  <c r="AN217"/>
  <c r="AM217"/>
  <c r="AL217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B217"/>
  <c r="A217"/>
  <c r="CJ216"/>
  <c r="CI216"/>
  <c r="CH216"/>
  <c r="CG216"/>
  <c r="CF216"/>
  <c r="CE216"/>
  <c r="CD216"/>
  <c r="CC216"/>
  <c r="CB216"/>
  <c r="CA216"/>
  <c r="BZ216"/>
  <c r="BY216"/>
  <c r="BX216"/>
  <c r="BW216"/>
  <c r="BV216"/>
  <c r="BU216"/>
  <c r="BT216"/>
  <c r="BS216"/>
  <c r="BR216"/>
  <c r="BQ216"/>
  <c r="BP216"/>
  <c r="BO216"/>
  <c r="BN216"/>
  <c r="BM216"/>
  <c r="BL216"/>
  <c r="BK216"/>
  <c r="BJ216"/>
  <c r="BI216"/>
  <c r="BH216"/>
  <c r="BG216"/>
  <c r="BF216"/>
  <c r="BE216"/>
  <c r="BD216"/>
  <c r="BC216"/>
  <c r="BB216"/>
  <c r="BA216"/>
  <c r="AZ216"/>
  <c r="AY216"/>
  <c r="AX216"/>
  <c r="AW216"/>
  <c r="AV216"/>
  <c r="AU216"/>
  <c r="AT216"/>
  <c r="AS216"/>
  <c r="AR216"/>
  <c r="AQ216"/>
  <c r="AP216"/>
  <c r="AO216"/>
  <c r="AN216"/>
  <c r="AM216"/>
  <c r="AL216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F216"/>
  <c r="E216"/>
  <c r="D216"/>
  <c r="C216"/>
  <c r="B216"/>
  <c r="A216"/>
  <c r="CJ215"/>
  <c r="CI215"/>
  <c r="CH215"/>
  <c r="CG215"/>
  <c r="CF215"/>
  <c r="CE215"/>
  <c r="CD215"/>
  <c r="CC215"/>
  <c r="CB215"/>
  <c r="CA215"/>
  <c r="BZ215"/>
  <c r="BY215"/>
  <c r="BX215"/>
  <c r="BW215"/>
  <c r="BV215"/>
  <c r="BU215"/>
  <c r="BT215"/>
  <c r="BS215"/>
  <c r="BR215"/>
  <c r="BQ215"/>
  <c r="BP215"/>
  <c r="BO215"/>
  <c r="BN215"/>
  <c r="BM215"/>
  <c r="BL215"/>
  <c r="BK215"/>
  <c r="BJ215"/>
  <c r="BI215"/>
  <c r="BH215"/>
  <c r="BG215"/>
  <c r="BF215"/>
  <c r="BE215"/>
  <c r="BD215"/>
  <c r="BC215"/>
  <c r="BB215"/>
  <c r="BA215"/>
  <c r="AZ215"/>
  <c r="AY215"/>
  <c r="AX215"/>
  <c r="AW215"/>
  <c r="AV215"/>
  <c r="AU215"/>
  <c r="AT215"/>
  <c r="AS215"/>
  <c r="AR215"/>
  <c r="AQ215"/>
  <c r="AP215"/>
  <c r="AO215"/>
  <c r="AN215"/>
  <c r="AM215"/>
  <c r="AL215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F215"/>
  <c r="E215"/>
  <c r="D215"/>
  <c r="C215"/>
  <c r="B215"/>
  <c r="A215"/>
  <c r="CJ214"/>
  <c r="CI214"/>
  <c r="CH214"/>
  <c r="CG214"/>
  <c r="CF214"/>
  <c r="CE214"/>
  <c r="CD214"/>
  <c r="CC214"/>
  <c r="CB214"/>
  <c r="CA214"/>
  <c r="BZ214"/>
  <c r="BY214"/>
  <c r="BX214"/>
  <c r="BW214"/>
  <c r="BV214"/>
  <c r="BU214"/>
  <c r="BT214"/>
  <c r="BS214"/>
  <c r="BR214"/>
  <c r="BQ214"/>
  <c r="BP214"/>
  <c r="BO214"/>
  <c r="BN214"/>
  <c r="BM214"/>
  <c r="BL214"/>
  <c r="BK214"/>
  <c r="BJ214"/>
  <c r="BI214"/>
  <c r="BH214"/>
  <c r="BG214"/>
  <c r="BF214"/>
  <c r="BE214"/>
  <c r="BD214"/>
  <c r="BC214"/>
  <c r="BB214"/>
  <c r="BA214"/>
  <c r="AZ214"/>
  <c r="AY214"/>
  <c r="AX214"/>
  <c r="AW214"/>
  <c r="AV214"/>
  <c r="AU214"/>
  <c r="AT214"/>
  <c r="AS214"/>
  <c r="AR214"/>
  <c r="AQ214"/>
  <c r="AP214"/>
  <c r="AO214"/>
  <c r="AN214"/>
  <c r="AM214"/>
  <c r="AL214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F214"/>
  <c r="E214"/>
  <c r="D214"/>
  <c r="C214"/>
  <c r="B214"/>
  <c r="A214"/>
  <c r="CJ213"/>
  <c r="CI213"/>
  <c r="CH213"/>
  <c r="CG213"/>
  <c r="CF213"/>
  <c r="CE213"/>
  <c r="CD213"/>
  <c r="CC213"/>
  <c r="CB213"/>
  <c r="CA213"/>
  <c r="BZ213"/>
  <c r="BY213"/>
  <c r="BX213"/>
  <c r="BW213"/>
  <c r="BV213"/>
  <c r="BU213"/>
  <c r="BT213"/>
  <c r="BS213"/>
  <c r="BR213"/>
  <c r="BQ213"/>
  <c r="BP213"/>
  <c r="BO213"/>
  <c r="BN213"/>
  <c r="BM213"/>
  <c r="BL213"/>
  <c r="BK213"/>
  <c r="BJ213"/>
  <c r="BI213"/>
  <c r="BH213"/>
  <c r="BG213"/>
  <c r="BF213"/>
  <c r="BE213"/>
  <c r="BD213"/>
  <c r="BC213"/>
  <c r="BB213"/>
  <c r="BA213"/>
  <c r="AZ213"/>
  <c r="AY213"/>
  <c r="AX213"/>
  <c r="AW213"/>
  <c r="AV213"/>
  <c r="AU213"/>
  <c r="AT213"/>
  <c r="AS213"/>
  <c r="AR213"/>
  <c r="AQ213"/>
  <c r="AP213"/>
  <c r="AO213"/>
  <c r="AN213"/>
  <c r="AM213"/>
  <c r="AL213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B213"/>
  <c r="A213"/>
  <c r="CJ212"/>
  <c r="CI212"/>
  <c r="CH212"/>
  <c r="CG212"/>
  <c r="CF212"/>
  <c r="CE212"/>
  <c r="CD212"/>
  <c r="CC212"/>
  <c r="CB212"/>
  <c r="CA212"/>
  <c r="BZ212"/>
  <c r="BY212"/>
  <c r="BX212"/>
  <c r="BW212"/>
  <c r="BV212"/>
  <c r="BU212"/>
  <c r="BT212"/>
  <c r="BS212"/>
  <c r="BR212"/>
  <c r="BQ212"/>
  <c r="BP212"/>
  <c r="BO212"/>
  <c r="BN212"/>
  <c r="BM212"/>
  <c r="BL212"/>
  <c r="BK212"/>
  <c r="BJ212"/>
  <c r="BI212"/>
  <c r="BH212"/>
  <c r="BG212"/>
  <c r="BF212"/>
  <c r="BE212"/>
  <c r="BD212"/>
  <c r="BC212"/>
  <c r="BB212"/>
  <c r="BA212"/>
  <c r="AZ212"/>
  <c r="AY212"/>
  <c r="AX212"/>
  <c r="AW212"/>
  <c r="AV212"/>
  <c r="AU212"/>
  <c r="AT212"/>
  <c r="AS212"/>
  <c r="AR212"/>
  <c r="AQ212"/>
  <c r="AP212"/>
  <c r="AO212"/>
  <c r="AN212"/>
  <c r="AM212"/>
  <c r="AL212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F212"/>
  <c r="E212"/>
  <c r="D212"/>
  <c r="C212"/>
  <c r="B212"/>
  <c r="A212"/>
  <c r="CJ211"/>
  <c r="CI211"/>
  <c r="CH211"/>
  <c r="CG211"/>
  <c r="CF211"/>
  <c r="CE211"/>
  <c r="CD211"/>
  <c r="CC211"/>
  <c r="CB211"/>
  <c r="CA211"/>
  <c r="BZ211"/>
  <c r="BY211"/>
  <c r="BX211"/>
  <c r="BW211"/>
  <c r="BV211"/>
  <c r="BU211"/>
  <c r="BT211"/>
  <c r="BS211"/>
  <c r="BR211"/>
  <c r="BQ211"/>
  <c r="BP211"/>
  <c r="BO211"/>
  <c r="BN211"/>
  <c r="BM211"/>
  <c r="BL211"/>
  <c r="BK211"/>
  <c r="BJ211"/>
  <c r="BI211"/>
  <c r="BH211"/>
  <c r="BG211"/>
  <c r="BF211"/>
  <c r="BE211"/>
  <c r="BD211"/>
  <c r="BC211"/>
  <c r="BB211"/>
  <c r="BA211"/>
  <c r="AZ211"/>
  <c r="AY211"/>
  <c r="AX211"/>
  <c r="AW211"/>
  <c r="AV211"/>
  <c r="AU211"/>
  <c r="AT211"/>
  <c r="AS211"/>
  <c r="AR211"/>
  <c r="AQ211"/>
  <c r="AP211"/>
  <c r="AO211"/>
  <c r="AN211"/>
  <c r="AM211"/>
  <c r="AL211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F211"/>
  <c r="E211"/>
  <c r="D211"/>
  <c r="C211"/>
  <c r="B211"/>
  <c r="A211"/>
  <c r="CJ210"/>
  <c r="CI210"/>
  <c r="CH210"/>
  <c r="CG210"/>
  <c r="CF210"/>
  <c r="CE210"/>
  <c r="CD210"/>
  <c r="CC210"/>
  <c r="CB210"/>
  <c r="CA210"/>
  <c r="BZ210"/>
  <c r="BY210"/>
  <c r="BX210"/>
  <c r="BW210"/>
  <c r="BV210"/>
  <c r="BU210"/>
  <c r="BT210"/>
  <c r="BS210"/>
  <c r="BR210"/>
  <c r="BQ210"/>
  <c r="BP210"/>
  <c r="BO210"/>
  <c r="BN210"/>
  <c r="BM210"/>
  <c r="BL210"/>
  <c r="BK210"/>
  <c r="BJ210"/>
  <c r="BI210"/>
  <c r="BH210"/>
  <c r="BG210"/>
  <c r="BF210"/>
  <c r="BE210"/>
  <c r="BD210"/>
  <c r="BC210"/>
  <c r="BB210"/>
  <c r="BA210"/>
  <c r="AZ210"/>
  <c r="AY210"/>
  <c r="AX210"/>
  <c r="AW210"/>
  <c r="AV210"/>
  <c r="AU210"/>
  <c r="AT210"/>
  <c r="AS210"/>
  <c r="AR210"/>
  <c r="AQ210"/>
  <c r="AP210"/>
  <c r="AO210"/>
  <c r="AN210"/>
  <c r="AM210"/>
  <c r="AL210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F210"/>
  <c r="E210"/>
  <c r="D210"/>
  <c r="C210"/>
  <c r="B210"/>
  <c r="A210"/>
  <c r="CJ209"/>
  <c r="CI209"/>
  <c r="CH209"/>
  <c r="CG209"/>
  <c r="CF209"/>
  <c r="CE209"/>
  <c r="CD209"/>
  <c r="CC209"/>
  <c r="CB209"/>
  <c r="CA209"/>
  <c r="BZ209"/>
  <c r="BY209"/>
  <c r="BX209"/>
  <c r="BW209"/>
  <c r="BV209"/>
  <c r="BU209"/>
  <c r="BT209"/>
  <c r="BS209"/>
  <c r="BR209"/>
  <c r="BQ209"/>
  <c r="BP209"/>
  <c r="BO209"/>
  <c r="BN209"/>
  <c r="BM209"/>
  <c r="BL209"/>
  <c r="BK209"/>
  <c r="BJ209"/>
  <c r="BI209"/>
  <c r="BH209"/>
  <c r="BG209"/>
  <c r="BF209"/>
  <c r="BE209"/>
  <c r="BD209"/>
  <c r="BC209"/>
  <c r="BB209"/>
  <c r="BA209"/>
  <c r="AZ209"/>
  <c r="AY209"/>
  <c r="AX209"/>
  <c r="AW209"/>
  <c r="AV209"/>
  <c r="AU209"/>
  <c r="AT209"/>
  <c r="AS209"/>
  <c r="AR209"/>
  <c r="AQ209"/>
  <c r="AP209"/>
  <c r="AO209"/>
  <c r="AN209"/>
  <c r="AM209"/>
  <c r="AL209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B209"/>
  <c r="A209"/>
  <c r="CJ208"/>
  <c r="CI208"/>
  <c r="CH208"/>
  <c r="CG208"/>
  <c r="CF208"/>
  <c r="CE208"/>
  <c r="CD208"/>
  <c r="CC208"/>
  <c r="CB208"/>
  <c r="CA208"/>
  <c r="BZ208"/>
  <c r="BY208"/>
  <c r="BX208"/>
  <c r="BW208"/>
  <c r="BV208"/>
  <c r="BU208"/>
  <c r="BT208"/>
  <c r="BS208"/>
  <c r="BR208"/>
  <c r="BQ208"/>
  <c r="BP208"/>
  <c r="BO208"/>
  <c r="BN208"/>
  <c r="BM208"/>
  <c r="BL208"/>
  <c r="BK208"/>
  <c r="BJ208"/>
  <c r="BI208"/>
  <c r="BH208"/>
  <c r="BG208"/>
  <c r="BF208"/>
  <c r="BE208"/>
  <c r="BD208"/>
  <c r="BC208"/>
  <c r="BB208"/>
  <c r="BA208"/>
  <c r="AZ208"/>
  <c r="AY208"/>
  <c r="AX208"/>
  <c r="AW208"/>
  <c r="AV208"/>
  <c r="AU208"/>
  <c r="AT208"/>
  <c r="AS208"/>
  <c r="AR208"/>
  <c r="AQ208"/>
  <c r="AP208"/>
  <c r="AO208"/>
  <c r="AN208"/>
  <c r="AM208"/>
  <c r="AL208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B208"/>
  <c r="A208"/>
  <c r="CJ207"/>
  <c r="CI207"/>
  <c r="CH207"/>
  <c r="CG207"/>
  <c r="CF207"/>
  <c r="CE207"/>
  <c r="CD207"/>
  <c r="CC207"/>
  <c r="CB207"/>
  <c r="CA207"/>
  <c r="BZ207"/>
  <c r="BY207"/>
  <c r="BX207"/>
  <c r="BW207"/>
  <c r="BV207"/>
  <c r="BU207"/>
  <c r="BT207"/>
  <c r="BS207"/>
  <c r="BR207"/>
  <c r="BQ207"/>
  <c r="BP207"/>
  <c r="BO207"/>
  <c r="BN207"/>
  <c r="BM207"/>
  <c r="BL207"/>
  <c r="BK207"/>
  <c r="BJ207"/>
  <c r="BI207"/>
  <c r="BH207"/>
  <c r="BG207"/>
  <c r="BF207"/>
  <c r="BE207"/>
  <c r="BD207"/>
  <c r="BC207"/>
  <c r="BB207"/>
  <c r="BA207"/>
  <c r="AZ207"/>
  <c r="AY207"/>
  <c r="AX207"/>
  <c r="AW207"/>
  <c r="AV207"/>
  <c r="AU207"/>
  <c r="AT207"/>
  <c r="AS207"/>
  <c r="AR207"/>
  <c r="AQ207"/>
  <c r="AP207"/>
  <c r="AO207"/>
  <c r="AN207"/>
  <c r="AM207"/>
  <c r="AL207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C207"/>
  <c r="B207"/>
  <c r="A207"/>
  <c r="CJ206"/>
  <c r="CI206"/>
  <c r="CH206"/>
  <c r="CG206"/>
  <c r="CF206"/>
  <c r="CE206"/>
  <c r="CD206"/>
  <c r="CC206"/>
  <c r="CB206"/>
  <c r="CA206"/>
  <c r="BZ206"/>
  <c r="BY206"/>
  <c r="BX206"/>
  <c r="BW206"/>
  <c r="BV206"/>
  <c r="BU206"/>
  <c r="BT206"/>
  <c r="BS206"/>
  <c r="BR206"/>
  <c r="BQ206"/>
  <c r="BP206"/>
  <c r="BO206"/>
  <c r="BN206"/>
  <c r="BM206"/>
  <c r="BL206"/>
  <c r="BK206"/>
  <c r="BJ206"/>
  <c r="BI206"/>
  <c r="BH206"/>
  <c r="BG206"/>
  <c r="BF206"/>
  <c r="BE206"/>
  <c r="BD206"/>
  <c r="BC206"/>
  <c r="BB206"/>
  <c r="BA206"/>
  <c r="AZ206"/>
  <c r="AY206"/>
  <c r="AX206"/>
  <c r="AW206"/>
  <c r="AV206"/>
  <c r="AU206"/>
  <c r="AT206"/>
  <c r="AS206"/>
  <c r="AR206"/>
  <c r="AQ206"/>
  <c r="AP206"/>
  <c r="AO206"/>
  <c r="AN206"/>
  <c r="AM206"/>
  <c r="AL206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B206"/>
  <c r="A206"/>
  <c r="CJ205"/>
  <c r="CI205"/>
  <c r="CH205"/>
  <c r="CG205"/>
  <c r="CF205"/>
  <c r="CE205"/>
  <c r="CD205"/>
  <c r="CC205"/>
  <c r="CB205"/>
  <c r="CA205"/>
  <c r="BZ205"/>
  <c r="BY205"/>
  <c r="BX205"/>
  <c r="BW205"/>
  <c r="BV205"/>
  <c r="BU205"/>
  <c r="BT205"/>
  <c r="BS205"/>
  <c r="BR205"/>
  <c r="BQ205"/>
  <c r="BP205"/>
  <c r="BO205"/>
  <c r="BN205"/>
  <c r="BM205"/>
  <c r="BL205"/>
  <c r="BK205"/>
  <c r="BJ205"/>
  <c r="BI205"/>
  <c r="BH205"/>
  <c r="BG205"/>
  <c r="BF205"/>
  <c r="BE205"/>
  <c r="BD205"/>
  <c r="BC205"/>
  <c r="BB205"/>
  <c r="BA205"/>
  <c r="AZ205"/>
  <c r="AY205"/>
  <c r="AX205"/>
  <c r="AW205"/>
  <c r="AV205"/>
  <c r="AU205"/>
  <c r="AT205"/>
  <c r="AS205"/>
  <c r="AR205"/>
  <c r="AQ205"/>
  <c r="AP205"/>
  <c r="AO205"/>
  <c r="AN205"/>
  <c r="AM205"/>
  <c r="AL205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C205"/>
  <c r="B205"/>
  <c r="A205"/>
  <c r="CJ204"/>
  <c r="CI204"/>
  <c r="CH204"/>
  <c r="CG204"/>
  <c r="CF204"/>
  <c r="CE204"/>
  <c r="CD204"/>
  <c r="CC204"/>
  <c r="CB204"/>
  <c r="CA204"/>
  <c r="BZ204"/>
  <c r="BY204"/>
  <c r="BX204"/>
  <c r="BW204"/>
  <c r="BV204"/>
  <c r="BU204"/>
  <c r="BT204"/>
  <c r="BS204"/>
  <c r="BR204"/>
  <c r="BQ204"/>
  <c r="BP204"/>
  <c r="BO204"/>
  <c r="BN204"/>
  <c r="BM204"/>
  <c r="BL204"/>
  <c r="BK204"/>
  <c r="BJ204"/>
  <c r="BI204"/>
  <c r="BH204"/>
  <c r="BG204"/>
  <c r="BF204"/>
  <c r="BE204"/>
  <c r="BD204"/>
  <c r="BC204"/>
  <c r="BB204"/>
  <c r="BA204"/>
  <c r="AZ204"/>
  <c r="AY204"/>
  <c r="AX204"/>
  <c r="AW204"/>
  <c r="AV204"/>
  <c r="AU204"/>
  <c r="AT204"/>
  <c r="AS204"/>
  <c r="AR204"/>
  <c r="AQ204"/>
  <c r="AP204"/>
  <c r="AO204"/>
  <c r="AN204"/>
  <c r="AM204"/>
  <c r="AL204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B204"/>
  <c r="A204"/>
  <c r="CJ203"/>
  <c r="CI203"/>
  <c r="CH203"/>
  <c r="CG203"/>
  <c r="CF203"/>
  <c r="CE203"/>
  <c r="CD203"/>
  <c r="CC203"/>
  <c r="CB203"/>
  <c r="CA203"/>
  <c r="BZ203"/>
  <c r="BY203"/>
  <c r="BX203"/>
  <c r="BW203"/>
  <c r="BV203"/>
  <c r="BU203"/>
  <c r="BT203"/>
  <c r="BS203"/>
  <c r="BR203"/>
  <c r="BQ203"/>
  <c r="BP203"/>
  <c r="BO203"/>
  <c r="BN203"/>
  <c r="BM203"/>
  <c r="BL203"/>
  <c r="BK203"/>
  <c r="BJ203"/>
  <c r="BI203"/>
  <c r="BH203"/>
  <c r="BG203"/>
  <c r="BF203"/>
  <c r="BE203"/>
  <c r="BD203"/>
  <c r="BC203"/>
  <c r="BB203"/>
  <c r="BA203"/>
  <c r="AZ203"/>
  <c r="AY203"/>
  <c r="AX203"/>
  <c r="AW203"/>
  <c r="AV203"/>
  <c r="AU203"/>
  <c r="AT203"/>
  <c r="AS203"/>
  <c r="AR203"/>
  <c r="AQ203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B203"/>
  <c r="A203"/>
  <c r="CJ202"/>
  <c r="CI202"/>
  <c r="CH202"/>
  <c r="CG202"/>
  <c r="CF202"/>
  <c r="CE202"/>
  <c r="CD202"/>
  <c r="CC202"/>
  <c r="CB202"/>
  <c r="CA202"/>
  <c r="BZ202"/>
  <c r="BY202"/>
  <c r="BX202"/>
  <c r="BW202"/>
  <c r="BV202"/>
  <c r="BU202"/>
  <c r="BT202"/>
  <c r="BS202"/>
  <c r="BR202"/>
  <c r="BQ202"/>
  <c r="BP202"/>
  <c r="BO202"/>
  <c r="BN202"/>
  <c r="BM202"/>
  <c r="BL202"/>
  <c r="BK202"/>
  <c r="BJ202"/>
  <c r="BI202"/>
  <c r="BH202"/>
  <c r="BG202"/>
  <c r="BF202"/>
  <c r="BE202"/>
  <c r="BD202"/>
  <c r="BC202"/>
  <c r="BB202"/>
  <c r="BA202"/>
  <c r="AZ202"/>
  <c r="AY202"/>
  <c r="AX202"/>
  <c r="AW202"/>
  <c r="AV202"/>
  <c r="AU202"/>
  <c r="AT202"/>
  <c r="AS202"/>
  <c r="AR202"/>
  <c r="AQ202"/>
  <c r="AP202"/>
  <c r="AO202"/>
  <c r="AN202"/>
  <c r="AM202"/>
  <c r="AL202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B202"/>
  <c r="A202"/>
  <c r="CJ201"/>
  <c r="CI201"/>
  <c r="CH201"/>
  <c r="CG201"/>
  <c r="CF201"/>
  <c r="CE201"/>
  <c r="CD201"/>
  <c r="CC201"/>
  <c r="CB201"/>
  <c r="CA201"/>
  <c r="BZ201"/>
  <c r="BY201"/>
  <c r="BX201"/>
  <c r="BW201"/>
  <c r="BV201"/>
  <c r="BU201"/>
  <c r="BT201"/>
  <c r="BS201"/>
  <c r="BR201"/>
  <c r="BQ201"/>
  <c r="BP201"/>
  <c r="BO201"/>
  <c r="BN201"/>
  <c r="BM201"/>
  <c r="BL201"/>
  <c r="BK201"/>
  <c r="BJ201"/>
  <c r="BI201"/>
  <c r="BH201"/>
  <c r="BG201"/>
  <c r="BF201"/>
  <c r="BE201"/>
  <c r="BD201"/>
  <c r="BC201"/>
  <c r="BB201"/>
  <c r="BA201"/>
  <c r="AZ201"/>
  <c r="AY201"/>
  <c r="AX201"/>
  <c r="AW201"/>
  <c r="AV201"/>
  <c r="AU201"/>
  <c r="AT201"/>
  <c r="AS201"/>
  <c r="AR201"/>
  <c r="AQ201"/>
  <c r="AP201"/>
  <c r="AO201"/>
  <c r="AN201"/>
  <c r="AM201"/>
  <c r="AL201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A201"/>
  <c r="CJ200"/>
  <c r="CI200"/>
  <c r="CH200"/>
  <c r="CG200"/>
  <c r="CF200"/>
  <c r="CE200"/>
  <c r="CD200"/>
  <c r="CC200"/>
  <c r="CB200"/>
  <c r="CA200"/>
  <c r="BZ200"/>
  <c r="BY200"/>
  <c r="BX200"/>
  <c r="BW200"/>
  <c r="BV200"/>
  <c r="BU200"/>
  <c r="BT200"/>
  <c r="BS200"/>
  <c r="BR200"/>
  <c r="BQ200"/>
  <c r="BP200"/>
  <c r="BO200"/>
  <c r="BN200"/>
  <c r="BM200"/>
  <c r="BL200"/>
  <c r="BK200"/>
  <c r="BJ200"/>
  <c r="BI200"/>
  <c r="BH200"/>
  <c r="BG200"/>
  <c r="BF200"/>
  <c r="BE200"/>
  <c r="BD200"/>
  <c r="BC200"/>
  <c r="BB200"/>
  <c r="BA200"/>
  <c r="AZ200"/>
  <c r="AY200"/>
  <c r="AX200"/>
  <c r="AW200"/>
  <c r="AV200"/>
  <c r="AU200"/>
  <c r="AT200"/>
  <c r="AS200"/>
  <c r="AR200"/>
  <c r="AQ200"/>
  <c r="AP200"/>
  <c r="AO200"/>
  <c r="AN200"/>
  <c r="AM200"/>
  <c r="AL200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A200"/>
  <c r="CJ199"/>
  <c r="CI199"/>
  <c r="CH199"/>
  <c r="CG199"/>
  <c r="CF199"/>
  <c r="CE199"/>
  <c r="CD199"/>
  <c r="CC199"/>
  <c r="CB199"/>
  <c r="CA199"/>
  <c r="BZ199"/>
  <c r="BY199"/>
  <c r="BX199"/>
  <c r="BW199"/>
  <c r="BV199"/>
  <c r="BU199"/>
  <c r="BT199"/>
  <c r="BS199"/>
  <c r="BR199"/>
  <c r="BQ199"/>
  <c r="BP199"/>
  <c r="BO199"/>
  <c r="BN199"/>
  <c r="BM199"/>
  <c r="BL199"/>
  <c r="BK199"/>
  <c r="BJ199"/>
  <c r="BI199"/>
  <c r="BH199"/>
  <c r="BG199"/>
  <c r="BF199"/>
  <c r="BE199"/>
  <c r="BD199"/>
  <c r="BC199"/>
  <c r="BB199"/>
  <c r="BA199"/>
  <c r="AZ199"/>
  <c r="AY199"/>
  <c r="AX199"/>
  <c r="AW199"/>
  <c r="AV199"/>
  <c r="AU199"/>
  <c r="AT199"/>
  <c r="AS199"/>
  <c r="AR199"/>
  <c r="AQ199"/>
  <c r="AP199"/>
  <c r="AO199"/>
  <c r="AN199"/>
  <c r="AM199"/>
  <c r="AL199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A199"/>
  <c r="CJ198"/>
  <c r="CI198"/>
  <c r="CH198"/>
  <c r="CG198"/>
  <c r="CF198"/>
  <c r="CE198"/>
  <c r="CD198"/>
  <c r="CC198"/>
  <c r="CB198"/>
  <c r="CA198"/>
  <c r="BZ198"/>
  <c r="BY198"/>
  <c r="BX198"/>
  <c r="BW198"/>
  <c r="BV198"/>
  <c r="BU198"/>
  <c r="BT198"/>
  <c r="BS198"/>
  <c r="BR198"/>
  <c r="BQ198"/>
  <c r="BP198"/>
  <c r="BO198"/>
  <c r="BN198"/>
  <c r="BM198"/>
  <c r="BL198"/>
  <c r="BK198"/>
  <c r="BJ198"/>
  <c r="BI198"/>
  <c r="BH198"/>
  <c r="BG198"/>
  <c r="BF198"/>
  <c r="BE198"/>
  <c r="BD198"/>
  <c r="BC198"/>
  <c r="BB198"/>
  <c r="BA198"/>
  <c r="AZ198"/>
  <c r="AY198"/>
  <c r="AX198"/>
  <c r="AW198"/>
  <c r="AV198"/>
  <c r="AU198"/>
  <c r="AT198"/>
  <c r="AS198"/>
  <c r="AR198"/>
  <c r="AQ198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198"/>
  <c r="CJ197"/>
  <c r="CI197"/>
  <c r="CH197"/>
  <c r="CG197"/>
  <c r="CF197"/>
  <c r="CE197"/>
  <c r="CD197"/>
  <c r="CC197"/>
  <c r="CB197"/>
  <c r="CA197"/>
  <c r="BZ197"/>
  <c r="BY197"/>
  <c r="BX197"/>
  <c r="BW197"/>
  <c r="BV197"/>
  <c r="BU197"/>
  <c r="BT197"/>
  <c r="BS197"/>
  <c r="BR197"/>
  <c r="BQ197"/>
  <c r="BP197"/>
  <c r="BO197"/>
  <c r="BN197"/>
  <c r="BM197"/>
  <c r="BL197"/>
  <c r="BK197"/>
  <c r="BJ197"/>
  <c r="BI197"/>
  <c r="BH197"/>
  <c r="BG197"/>
  <c r="BF197"/>
  <c r="BE197"/>
  <c r="BD197"/>
  <c r="BC197"/>
  <c r="BB197"/>
  <c r="BA197"/>
  <c r="AZ197"/>
  <c r="AY197"/>
  <c r="AX197"/>
  <c r="AW197"/>
  <c r="AV197"/>
  <c r="AU197"/>
  <c r="AT197"/>
  <c r="AS197"/>
  <c r="AR197"/>
  <c r="AQ197"/>
  <c r="AP197"/>
  <c r="AO197"/>
  <c r="AN197"/>
  <c r="AM197"/>
  <c r="AL197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A197"/>
  <c r="CJ196"/>
  <c r="CI196"/>
  <c r="CH196"/>
  <c r="CG196"/>
  <c r="CF196"/>
  <c r="CE196"/>
  <c r="CD196"/>
  <c r="CC196"/>
  <c r="CB196"/>
  <c r="CA196"/>
  <c r="BZ196"/>
  <c r="BY196"/>
  <c r="BX196"/>
  <c r="BW196"/>
  <c r="BV196"/>
  <c r="BU196"/>
  <c r="BT196"/>
  <c r="BS196"/>
  <c r="BR196"/>
  <c r="BQ196"/>
  <c r="BP196"/>
  <c r="BO196"/>
  <c r="BN196"/>
  <c r="BM196"/>
  <c r="BL196"/>
  <c r="BK196"/>
  <c r="BJ196"/>
  <c r="BI196"/>
  <c r="BH196"/>
  <c r="BG196"/>
  <c r="BF196"/>
  <c r="BE196"/>
  <c r="BD196"/>
  <c r="BC196"/>
  <c r="BB196"/>
  <c r="BA196"/>
  <c r="AZ196"/>
  <c r="AY196"/>
  <c r="AX196"/>
  <c r="AW196"/>
  <c r="AV196"/>
  <c r="AU196"/>
  <c r="AT196"/>
  <c r="AS196"/>
  <c r="AR196"/>
  <c r="AQ196"/>
  <c r="AP196"/>
  <c r="AO196"/>
  <c r="AN196"/>
  <c r="AM196"/>
  <c r="AL196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A196"/>
  <c r="CJ195"/>
  <c r="CI195"/>
  <c r="CH195"/>
  <c r="CG195"/>
  <c r="CF195"/>
  <c r="CE195"/>
  <c r="CD195"/>
  <c r="CC195"/>
  <c r="CB195"/>
  <c r="CA195"/>
  <c r="BZ195"/>
  <c r="BY195"/>
  <c r="BX195"/>
  <c r="BW195"/>
  <c r="BV195"/>
  <c r="BU195"/>
  <c r="BT195"/>
  <c r="BS195"/>
  <c r="BR195"/>
  <c r="BQ195"/>
  <c r="BP195"/>
  <c r="BO195"/>
  <c r="BN195"/>
  <c r="BM195"/>
  <c r="BL195"/>
  <c r="BK195"/>
  <c r="BJ195"/>
  <c r="BI195"/>
  <c r="BH195"/>
  <c r="BG195"/>
  <c r="BF195"/>
  <c r="BE195"/>
  <c r="BD195"/>
  <c r="BC195"/>
  <c r="BB195"/>
  <c r="BA195"/>
  <c r="AZ195"/>
  <c r="AY195"/>
  <c r="AX195"/>
  <c r="AW195"/>
  <c r="AV195"/>
  <c r="AU195"/>
  <c r="AT195"/>
  <c r="AS195"/>
  <c r="AR195"/>
  <c r="AQ195"/>
  <c r="AP195"/>
  <c r="AO195"/>
  <c r="AN195"/>
  <c r="AM195"/>
  <c r="AL195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A195"/>
  <c r="CJ194"/>
  <c r="CI194"/>
  <c r="CH194"/>
  <c r="CG194"/>
  <c r="CF194"/>
  <c r="CE194"/>
  <c r="CD194"/>
  <c r="CC194"/>
  <c r="CB194"/>
  <c r="CA194"/>
  <c r="BZ194"/>
  <c r="BY194"/>
  <c r="BX194"/>
  <c r="BW194"/>
  <c r="BV194"/>
  <c r="BU194"/>
  <c r="BT194"/>
  <c r="BS194"/>
  <c r="BR194"/>
  <c r="BQ194"/>
  <c r="BP194"/>
  <c r="BO194"/>
  <c r="BN194"/>
  <c r="BM194"/>
  <c r="BL194"/>
  <c r="BK194"/>
  <c r="BJ194"/>
  <c r="BI194"/>
  <c r="BH194"/>
  <c r="BG194"/>
  <c r="BF194"/>
  <c r="BE194"/>
  <c r="BD194"/>
  <c r="BC194"/>
  <c r="BB194"/>
  <c r="BA194"/>
  <c r="AZ194"/>
  <c r="AY194"/>
  <c r="AX194"/>
  <c r="AW194"/>
  <c r="AV194"/>
  <c r="AU194"/>
  <c r="AT194"/>
  <c r="AS194"/>
  <c r="AR194"/>
  <c r="AQ194"/>
  <c r="AP194"/>
  <c r="AO194"/>
  <c r="AN194"/>
  <c r="AM194"/>
  <c r="AL194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A194"/>
  <c r="CJ193"/>
  <c r="CI193"/>
  <c r="CH193"/>
  <c r="CG193"/>
  <c r="CF193"/>
  <c r="CE193"/>
  <c r="CD193"/>
  <c r="CC193"/>
  <c r="CB193"/>
  <c r="CA193"/>
  <c r="BZ193"/>
  <c r="BY193"/>
  <c r="BX193"/>
  <c r="BW193"/>
  <c r="BV193"/>
  <c r="BU193"/>
  <c r="BT193"/>
  <c r="BS193"/>
  <c r="BR193"/>
  <c r="BQ193"/>
  <c r="BP193"/>
  <c r="BO193"/>
  <c r="BN193"/>
  <c r="BM193"/>
  <c r="BL193"/>
  <c r="BK193"/>
  <c r="BJ193"/>
  <c r="BI193"/>
  <c r="BH193"/>
  <c r="BG193"/>
  <c r="BF193"/>
  <c r="BE193"/>
  <c r="BD193"/>
  <c r="BC193"/>
  <c r="BB193"/>
  <c r="BA193"/>
  <c r="AZ193"/>
  <c r="AY193"/>
  <c r="AX193"/>
  <c r="AW193"/>
  <c r="AV193"/>
  <c r="AU193"/>
  <c r="AT193"/>
  <c r="AS193"/>
  <c r="AR193"/>
  <c r="AQ193"/>
  <c r="AP193"/>
  <c r="AO193"/>
  <c r="AN193"/>
  <c r="AM193"/>
  <c r="AL193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A193"/>
  <c r="CJ192"/>
  <c r="CI192"/>
  <c r="CH192"/>
  <c r="CG192"/>
  <c r="CF192"/>
  <c r="CE192"/>
  <c r="CD192"/>
  <c r="CC192"/>
  <c r="CB192"/>
  <c r="CA192"/>
  <c r="BZ192"/>
  <c r="BY192"/>
  <c r="BX192"/>
  <c r="BW192"/>
  <c r="BV192"/>
  <c r="BU192"/>
  <c r="BT192"/>
  <c r="BS192"/>
  <c r="BR192"/>
  <c r="BQ192"/>
  <c r="BP192"/>
  <c r="BO192"/>
  <c r="BN192"/>
  <c r="BM192"/>
  <c r="BL192"/>
  <c r="BK192"/>
  <c r="BJ192"/>
  <c r="BI192"/>
  <c r="BH192"/>
  <c r="BG192"/>
  <c r="BF192"/>
  <c r="BE192"/>
  <c r="BD192"/>
  <c r="BC192"/>
  <c r="BB192"/>
  <c r="BA192"/>
  <c r="AZ192"/>
  <c r="AY192"/>
  <c r="AX192"/>
  <c r="AW192"/>
  <c r="AV192"/>
  <c r="AU192"/>
  <c r="AT192"/>
  <c r="AS192"/>
  <c r="AR192"/>
  <c r="AQ192"/>
  <c r="AP192"/>
  <c r="AO192"/>
  <c r="AN192"/>
  <c r="AM192"/>
  <c r="AL192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A192"/>
  <c r="CJ191"/>
  <c r="CI191"/>
  <c r="CH191"/>
  <c r="CG191"/>
  <c r="CF191"/>
  <c r="CE191"/>
  <c r="CD191"/>
  <c r="CC191"/>
  <c r="CB191"/>
  <c r="CA191"/>
  <c r="BZ191"/>
  <c r="BY191"/>
  <c r="BX191"/>
  <c r="BW191"/>
  <c r="BV191"/>
  <c r="BU191"/>
  <c r="BT191"/>
  <c r="BS191"/>
  <c r="BR191"/>
  <c r="BQ191"/>
  <c r="BP191"/>
  <c r="BO191"/>
  <c r="BN191"/>
  <c r="BM191"/>
  <c r="BL191"/>
  <c r="BK191"/>
  <c r="BJ191"/>
  <c r="BI191"/>
  <c r="BH191"/>
  <c r="BG191"/>
  <c r="BF191"/>
  <c r="BE191"/>
  <c r="BD191"/>
  <c r="BC191"/>
  <c r="BB191"/>
  <c r="BA191"/>
  <c r="AZ191"/>
  <c r="AY191"/>
  <c r="AX191"/>
  <c r="AW191"/>
  <c r="AV191"/>
  <c r="AU191"/>
  <c r="AT191"/>
  <c r="AS191"/>
  <c r="AR191"/>
  <c r="AQ191"/>
  <c r="AP191"/>
  <c r="AO191"/>
  <c r="AN191"/>
  <c r="AM191"/>
  <c r="AL191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A191"/>
  <c r="CJ190"/>
  <c r="CI190"/>
  <c r="CH190"/>
  <c r="CG190"/>
  <c r="CF190"/>
  <c r="CE190"/>
  <c r="CD190"/>
  <c r="CC190"/>
  <c r="CB190"/>
  <c r="CA190"/>
  <c r="BZ190"/>
  <c r="BY190"/>
  <c r="BX190"/>
  <c r="BW190"/>
  <c r="BV190"/>
  <c r="BU190"/>
  <c r="BT190"/>
  <c r="BS190"/>
  <c r="BR190"/>
  <c r="BQ190"/>
  <c r="BP190"/>
  <c r="BO190"/>
  <c r="BN190"/>
  <c r="BM190"/>
  <c r="BL190"/>
  <c r="BK190"/>
  <c r="BJ190"/>
  <c r="BI190"/>
  <c r="BH190"/>
  <c r="BG190"/>
  <c r="BF190"/>
  <c r="BE190"/>
  <c r="BD190"/>
  <c r="BC190"/>
  <c r="BB190"/>
  <c r="BA190"/>
  <c r="AZ190"/>
  <c r="AY190"/>
  <c r="AX190"/>
  <c r="AW190"/>
  <c r="AV190"/>
  <c r="AU190"/>
  <c r="AT190"/>
  <c r="AS190"/>
  <c r="AR190"/>
  <c r="AQ190"/>
  <c r="AP190"/>
  <c r="AO190"/>
  <c r="AN190"/>
  <c r="AM190"/>
  <c r="AL190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A190"/>
  <c r="CJ189"/>
  <c r="CI189"/>
  <c r="CH189"/>
  <c r="CG189"/>
  <c r="CF189"/>
  <c r="CE189"/>
  <c r="CD189"/>
  <c r="CC189"/>
  <c r="CB189"/>
  <c r="CA189"/>
  <c r="BZ189"/>
  <c r="BY189"/>
  <c r="BX189"/>
  <c r="BW189"/>
  <c r="BV189"/>
  <c r="BU189"/>
  <c r="BT189"/>
  <c r="BS189"/>
  <c r="BR189"/>
  <c r="BQ189"/>
  <c r="BP189"/>
  <c r="BO189"/>
  <c r="BN189"/>
  <c r="BM189"/>
  <c r="BL189"/>
  <c r="BK189"/>
  <c r="BJ189"/>
  <c r="BI189"/>
  <c r="BH189"/>
  <c r="BG189"/>
  <c r="BF189"/>
  <c r="BE189"/>
  <c r="BD189"/>
  <c r="BC189"/>
  <c r="BB189"/>
  <c r="BA189"/>
  <c r="AZ189"/>
  <c r="AY189"/>
  <c r="AX189"/>
  <c r="AW189"/>
  <c r="AV189"/>
  <c r="AU189"/>
  <c r="AT189"/>
  <c r="AS189"/>
  <c r="AR189"/>
  <c r="AQ189"/>
  <c r="AP189"/>
  <c r="AO189"/>
  <c r="AN189"/>
  <c r="AM189"/>
  <c r="AL189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A189"/>
  <c r="CJ188"/>
  <c r="CI188"/>
  <c r="CH188"/>
  <c r="CG188"/>
  <c r="CF188"/>
  <c r="CE188"/>
  <c r="CD188"/>
  <c r="CC188"/>
  <c r="CB188"/>
  <c r="CA188"/>
  <c r="BZ188"/>
  <c r="BY188"/>
  <c r="BX188"/>
  <c r="BW188"/>
  <c r="BV188"/>
  <c r="BU188"/>
  <c r="BT188"/>
  <c r="BS188"/>
  <c r="BR188"/>
  <c r="BQ188"/>
  <c r="BP188"/>
  <c r="BO188"/>
  <c r="BN188"/>
  <c r="BM188"/>
  <c r="BL188"/>
  <c r="BK188"/>
  <c r="BJ188"/>
  <c r="BI188"/>
  <c r="BH188"/>
  <c r="BG188"/>
  <c r="BF188"/>
  <c r="BE188"/>
  <c r="BD188"/>
  <c r="BC188"/>
  <c r="BB188"/>
  <c r="BA188"/>
  <c r="AZ188"/>
  <c r="AY188"/>
  <c r="AX188"/>
  <c r="AW188"/>
  <c r="AV188"/>
  <c r="AU188"/>
  <c r="AT188"/>
  <c r="AS188"/>
  <c r="AR188"/>
  <c r="AQ188"/>
  <c r="AP188"/>
  <c r="AO188"/>
  <c r="AN188"/>
  <c r="AM188"/>
  <c r="AL188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A188"/>
  <c r="CJ187"/>
  <c r="CI187"/>
  <c r="CH187"/>
  <c r="CG187"/>
  <c r="CF187"/>
  <c r="CE187"/>
  <c r="CD187"/>
  <c r="CC187"/>
  <c r="CB187"/>
  <c r="CA187"/>
  <c r="BZ187"/>
  <c r="BY187"/>
  <c r="BX187"/>
  <c r="BW187"/>
  <c r="BV187"/>
  <c r="BU187"/>
  <c r="BT187"/>
  <c r="BS187"/>
  <c r="BR187"/>
  <c r="BQ187"/>
  <c r="BP187"/>
  <c r="BO187"/>
  <c r="BN187"/>
  <c r="BM187"/>
  <c r="BL187"/>
  <c r="BK187"/>
  <c r="BJ187"/>
  <c r="BI187"/>
  <c r="BH187"/>
  <c r="BG187"/>
  <c r="BF187"/>
  <c r="BE187"/>
  <c r="BD187"/>
  <c r="BC187"/>
  <c r="BB187"/>
  <c r="BA187"/>
  <c r="AZ187"/>
  <c r="AY187"/>
  <c r="AX187"/>
  <c r="AW187"/>
  <c r="AV187"/>
  <c r="AU187"/>
  <c r="AT187"/>
  <c r="AS187"/>
  <c r="AR187"/>
  <c r="AQ187"/>
  <c r="AP187"/>
  <c r="AO187"/>
  <c r="AN187"/>
  <c r="AM187"/>
  <c r="AL187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A187"/>
  <c r="CJ186"/>
  <c r="CI186"/>
  <c r="CH186"/>
  <c r="CG186"/>
  <c r="CF186"/>
  <c r="CE186"/>
  <c r="CD186"/>
  <c r="CC186"/>
  <c r="CB186"/>
  <c r="CA186"/>
  <c r="BZ186"/>
  <c r="BY186"/>
  <c r="BX186"/>
  <c r="BW186"/>
  <c r="BV186"/>
  <c r="BU186"/>
  <c r="BT186"/>
  <c r="BS186"/>
  <c r="BR186"/>
  <c r="BQ186"/>
  <c r="BP186"/>
  <c r="BO186"/>
  <c r="BN186"/>
  <c r="BM186"/>
  <c r="BL186"/>
  <c r="BK186"/>
  <c r="BJ186"/>
  <c r="BI186"/>
  <c r="BH186"/>
  <c r="BG186"/>
  <c r="BF186"/>
  <c r="BE186"/>
  <c r="BD186"/>
  <c r="BC186"/>
  <c r="BB186"/>
  <c r="BA186"/>
  <c r="AZ186"/>
  <c r="AY186"/>
  <c r="AX186"/>
  <c r="AW186"/>
  <c r="AV186"/>
  <c r="AU186"/>
  <c r="AT186"/>
  <c r="AS186"/>
  <c r="AR186"/>
  <c r="AQ186"/>
  <c r="AP186"/>
  <c r="AO186"/>
  <c r="AN186"/>
  <c r="AM186"/>
  <c r="AL186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A186"/>
  <c r="CJ185"/>
  <c r="CI185"/>
  <c r="CH185"/>
  <c r="CG185"/>
  <c r="CF185"/>
  <c r="CE185"/>
  <c r="CD185"/>
  <c r="CC185"/>
  <c r="CB185"/>
  <c r="CA185"/>
  <c r="BZ185"/>
  <c r="BY185"/>
  <c r="BX185"/>
  <c r="BW185"/>
  <c r="BV185"/>
  <c r="BU185"/>
  <c r="BT185"/>
  <c r="BS185"/>
  <c r="BR185"/>
  <c r="BQ185"/>
  <c r="BP185"/>
  <c r="BO185"/>
  <c r="BN185"/>
  <c r="BM185"/>
  <c r="BL185"/>
  <c r="BK185"/>
  <c r="BJ185"/>
  <c r="BI185"/>
  <c r="BH185"/>
  <c r="BG185"/>
  <c r="BF185"/>
  <c r="BE185"/>
  <c r="BD185"/>
  <c r="BC185"/>
  <c r="BB185"/>
  <c r="BA185"/>
  <c r="AZ185"/>
  <c r="AY185"/>
  <c r="AX185"/>
  <c r="AW185"/>
  <c r="AV185"/>
  <c r="AU185"/>
  <c r="AT185"/>
  <c r="AS185"/>
  <c r="AR185"/>
  <c r="AQ185"/>
  <c r="AP185"/>
  <c r="AO185"/>
  <c r="AN185"/>
  <c r="AM185"/>
  <c r="AL185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A185"/>
  <c r="CJ184"/>
  <c r="CI184"/>
  <c r="CH184"/>
  <c r="CG184"/>
  <c r="CF184"/>
  <c r="CE184"/>
  <c r="CD184"/>
  <c r="CC184"/>
  <c r="CB184"/>
  <c r="CA184"/>
  <c r="BZ184"/>
  <c r="BY184"/>
  <c r="BX184"/>
  <c r="BW184"/>
  <c r="BV184"/>
  <c r="BU184"/>
  <c r="BT184"/>
  <c r="BS184"/>
  <c r="BR184"/>
  <c r="BQ184"/>
  <c r="BP184"/>
  <c r="BO184"/>
  <c r="BN184"/>
  <c r="BM184"/>
  <c r="BL184"/>
  <c r="BK184"/>
  <c r="BJ184"/>
  <c r="BI184"/>
  <c r="BH184"/>
  <c r="BG184"/>
  <c r="BF184"/>
  <c r="BE184"/>
  <c r="BD184"/>
  <c r="BC184"/>
  <c r="BB184"/>
  <c r="BA184"/>
  <c r="AZ184"/>
  <c r="AY184"/>
  <c r="AX184"/>
  <c r="AW184"/>
  <c r="AV184"/>
  <c r="AU184"/>
  <c r="AT184"/>
  <c r="AS184"/>
  <c r="AR184"/>
  <c r="AQ184"/>
  <c r="AP184"/>
  <c r="AO184"/>
  <c r="AN184"/>
  <c r="AM184"/>
  <c r="AL184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A184"/>
  <c r="CJ183"/>
  <c r="CI183"/>
  <c r="CH183"/>
  <c r="CG183"/>
  <c r="CF183"/>
  <c r="CE183"/>
  <c r="CD183"/>
  <c r="CC183"/>
  <c r="CB183"/>
  <c r="CA183"/>
  <c r="BZ183"/>
  <c r="BY183"/>
  <c r="BX183"/>
  <c r="BW183"/>
  <c r="BV183"/>
  <c r="BU183"/>
  <c r="BT183"/>
  <c r="BS183"/>
  <c r="BR183"/>
  <c r="BQ183"/>
  <c r="BP183"/>
  <c r="BO183"/>
  <c r="BN183"/>
  <c r="BM183"/>
  <c r="BL183"/>
  <c r="BK183"/>
  <c r="BJ183"/>
  <c r="BI183"/>
  <c r="BH183"/>
  <c r="BG183"/>
  <c r="BF183"/>
  <c r="BE183"/>
  <c r="BD183"/>
  <c r="BC183"/>
  <c r="BB183"/>
  <c r="BA183"/>
  <c r="AZ183"/>
  <c r="AY183"/>
  <c r="AX183"/>
  <c r="AW183"/>
  <c r="AV183"/>
  <c r="AU183"/>
  <c r="AT183"/>
  <c r="AS183"/>
  <c r="AR183"/>
  <c r="AQ183"/>
  <c r="AP183"/>
  <c r="AO183"/>
  <c r="AN183"/>
  <c r="AM183"/>
  <c r="AL183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A183"/>
  <c r="CJ182"/>
  <c r="CI182"/>
  <c r="CH182"/>
  <c r="CG182"/>
  <c r="CF182"/>
  <c r="CE182"/>
  <c r="CD182"/>
  <c r="CC182"/>
  <c r="CB182"/>
  <c r="CA182"/>
  <c r="BZ182"/>
  <c r="BY182"/>
  <c r="BX182"/>
  <c r="BW182"/>
  <c r="BV182"/>
  <c r="BU182"/>
  <c r="BT182"/>
  <c r="BS182"/>
  <c r="BR182"/>
  <c r="BQ182"/>
  <c r="BP182"/>
  <c r="BO182"/>
  <c r="BN182"/>
  <c r="BM182"/>
  <c r="BL182"/>
  <c r="BK182"/>
  <c r="BJ182"/>
  <c r="BI182"/>
  <c r="BH182"/>
  <c r="BG182"/>
  <c r="BF182"/>
  <c r="BE182"/>
  <c r="BD182"/>
  <c r="BC182"/>
  <c r="BB182"/>
  <c r="BA182"/>
  <c r="AZ182"/>
  <c r="AY182"/>
  <c r="AX182"/>
  <c r="AW182"/>
  <c r="AV182"/>
  <c r="AU182"/>
  <c r="AT182"/>
  <c r="AS182"/>
  <c r="AR182"/>
  <c r="AQ182"/>
  <c r="AP182"/>
  <c r="AO182"/>
  <c r="AN182"/>
  <c r="AM182"/>
  <c r="AL182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A182"/>
  <c r="CJ181"/>
  <c r="CI181"/>
  <c r="CH181"/>
  <c r="CG181"/>
  <c r="CF181"/>
  <c r="CE181"/>
  <c r="CD181"/>
  <c r="CC181"/>
  <c r="CB181"/>
  <c r="CA181"/>
  <c r="BZ181"/>
  <c r="BY181"/>
  <c r="BX181"/>
  <c r="BW181"/>
  <c r="BV181"/>
  <c r="BU181"/>
  <c r="BT181"/>
  <c r="BS181"/>
  <c r="BR181"/>
  <c r="BQ181"/>
  <c r="BP181"/>
  <c r="BO181"/>
  <c r="BN181"/>
  <c r="BM181"/>
  <c r="BL181"/>
  <c r="BK181"/>
  <c r="BJ181"/>
  <c r="BI181"/>
  <c r="BH181"/>
  <c r="BG181"/>
  <c r="BF181"/>
  <c r="BE181"/>
  <c r="BD181"/>
  <c r="BC181"/>
  <c r="BB181"/>
  <c r="BA181"/>
  <c r="AZ181"/>
  <c r="AY181"/>
  <c r="AX181"/>
  <c r="AW181"/>
  <c r="AV181"/>
  <c r="AU181"/>
  <c r="AT181"/>
  <c r="AS181"/>
  <c r="AR181"/>
  <c r="AQ181"/>
  <c r="AP181"/>
  <c r="AO181"/>
  <c r="AN181"/>
  <c r="AM181"/>
  <c r="AL181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A181"/>
  <c r="CJ180"/>
  <c r="CI180"/>
  <c r="CH180"/>
  <c r="CG180"/>
  <c r="CF180"/>
  <c r="CE180"/>
  <c r="CD180"/>
  <c r="CC180"/>
  <c r="CB180"/>
  <c r="CA180"/>
  <c r="BZ180"/>
  <c r="BY180"/>
  <c r="BX180"/>
  <c r="BW180"/>
  <c r="BV180"/>
  <c r="BU180"/>
  <c r="BT180"/>
  <c r="BS180"/>
  <c r="BR180"/>
  <c r="BQ180"/>
  <c r="BP180"/>
  <c r="BO180"/>
  <c r="BN180"/>
  <c r="BM180"/>
  <c r="BL180"/>
  <c r="BK180"/>
  <c r="BJ180"/>
  <c r="BI180"/>
  <c r="BH180"/>
  <c r="BG180"/>
  <c r="BF180"/>
  <c r="BE180"/>
  <c r="BD180"/>
  <c r="BC180"/>
  <c r="BB180"/>
  <c r="BA180"/>
  <c r="AZ180"/>
  <c r="AY180"/>
  <c r="AX180"/>
  <c r="AW180"/>
  <c r="AV180"/>
  <c r="AU180"/>
  <c r="AT180"/>
  <c r="AS180"/>
  <c r="AR180"/>
  <c r="AQ180"/>
  <c r="AP180"/>
  <c r="AO180"/>
  <c r="AN180"/>
  <c r="AM180"/>
  <c r="AL180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B180"/>
  <c r="A180"/>
  <c r="CJ179"/>
  <c r="CI179"/>
  <c r="CH179"/>
  <c r="CG179"/>
  <c r="CF179"/>
  <c r="CE179"/>
  <c r="CD179"/>
  <c r="CC179"/>
  <c r="CB179"/>
  <c r="CA179"/>
  <c r="BZ179"/>
  <c r="BY179"/>
  <c r="BX179"/>
  <c r="BW179"/>
  <c r="BV179"/>
  <c r="BU179"/>
  <c r="BT179"/>
  <c r="BS179"/>
  <c r="BR179"/>
  <c r="BQ179"/>
  <c r="BP179"/>
  <c r="BO179"/>
  <c r="BN179"/>
  <c r="BM179"/>
  <c r="BL179"/>
  <c r="BK179"/>
  <c r="BJ179"/>
  <c r="BI179"/>
  <c r="BH179"/>
  <c r="BG179"/>
  <c r="BF179"/>
  <c r="BE179"/>
  <c r="BD179"/>
  <c r="BC179"/>
  <c r="BB179"/>
  <c r="BA179"/>
  <c r="AZ179"/>
  <c r="AY179"/>
  <c r="AX179"/>
  <c r="AW179"/>
  <c r="AV179"/>
  <c r="AU179"/>
  <c r="AT179"/>
  <c r="AS179"/>
  <c r="AR179"/>
  <c r="AQ179"/>
  <c r="AP179"/>
  <c r="AO179"/>
  <c r="AN179"/>
  <c r="AM179"/>
  <c r="AL179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A179"/>
  <c r="CJ178"/>
  <c r="CI178"/>
  <c r="CH178"/>
  <c r="CG178"/>
  <c r="CF178"/>
  <c r="CE178"/>
  <c r="CD178"/>
  <c r="CC178"/>
  <c r="CB178"/>
  <c r="CA178"/>
  <c r="BZ178"/>
  <c r="BY178"/>
  <c r="BX178"/>
  <c r="BW178"/>
  <c r="BV178"/>
  <c r="BU178"/>
  <c r="BT178"/>
  <c r="BS178"/>
  <c r="BR178"/>
  <c r="BQ178"/>
  <c r="BP178"/>
  <c r="BO178"/>
  <c r="BN178"/>
  <c r="BM178"/>
  <c r="BL178"/>
  <c r="BK178"/>
  <c r="BJ178"/>
  <c r="BI178"/>
  <c r="BH178"/>
  <c r="BG178"/>
  <c r="BF178"/>
  <c r="BE178"/>
  <c r="BD178"/>
  <c r="BC178"/>
  <c r="BB178"/>
  <c r="BA178"/>
  <c r="AZ178"/>
  <c r="AY178"/>
  <c r="AX178"/>
  <c r="AW178"/>
  <c r="AV178"/>
  <c r="AU178"/>
  <c r="AT178"/>
  <c r="AS178"/>
  <c r="AR178"/>
  <c r="AQ178"/>
  <c r="AP178"/>
  <c r="AO178"/>
  <c r="AN178"/>
  <c r="AM178"/>
  <c r="AL178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178"/>
  <c r="CJ177"/>
  <c r="CI177"/>
  <c r="CH177"/>
  <c r="CG177"/>
  <c r="CF177"/>
  <c r="CE177"/>
  <c r="CD177"/>
  <c r="CC177"/>
  <c r="CB177"/>
  <c r="CA177"/>
  <c r="BZ177"/>
  <c r="BY177"/>
  <c r="BX177"/>
  <c r="BW177"/>
  <c r="BV177"/>
  <c r="BU177"/>
  <c r="BT177"/>
  <c r="BS177"/>
  <c r="BR177"/>
  <c r="BQ177"/>
  <c r="BP177"/>
  <c r="BO177"/>
  <c r="BN177"/>
  <c r="BM177"/>
  <c r="BL177"/>
  <c r="BK177"/>
  <c r="BJ177"/>
  <c r="BI177"/>
  <c r="BH177"/>
  <c r="BG177"/>
  <c r="BF177"/>
  <c r="BE177"/>
  <c r="BD177"/>
  <c r="BC177"/>
  <c r="BB177"/>
  <c r="BA177"/>
  <c r="AZ177"/>
  <c r="AY177"/>
  <c r="AX177"/>
  <c r="AW177"/>
  <c r="AV177"/>
  <c r="AU177"/>
  <c r="AT177"/>
  <c r="AS177"/>
  <c r="AR177"/>
  <c r="AQ177"/>
  <c r="AP177"/>
  <c r="AO177"/>
  <c r="AN177"/>
  <c r="AM177"/>
  <c r="AL177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B177"/>
  <c r="A177"/>
  <c r="CJ176"/>
  <c r="CI176"/>
  <c r="CH176"/>
  <c r="CG176"/>
  <c r="CF176"/>
  <c r="CE176"/>
  <c r="CD176"/>
  <c r="CC176"/>
  <c r="CB176"/>
  <c r="CA176"/>
  <c r="BZ176"/>
  <c r="BY176"/>
  <c r="BX176"/>
  <c r="BW176"/>
  <c r="BV176"/>
  <c r="BU176"/>
  <c r="BT176"/>
  <c r="BS176"/>
  <c r="BR176"/>
  <c r="BQ176"/>
  <c r="BP176"/>
  <c r="BO176"/>
  <c r="BN176"/>
  <c r="BM176"/>
  <c r="BL176"/>
  <c r="BK176"/>
  <c r="BJ176"/>
  <c r="BI176"/>
  <c r="BH176"/>
  <c r="BG176"/>
  <c r="BF176"/>
  <c r="BE176"/>
  <c r="BD176"/>
  <c r="BC176"/>
  <c r="BB176"/>
  <c r="BA176"/>
  <c r="AZ176"/>
  <c r="AY176"/>
  <c r="AX176"/>
  <c r="AW176"/>
  <c r="AV176"/>
  <c r="AU176"/>
  <c r="AT176"/>
  <c r="AS176"/>
  <c r="AR176"/>
  <c r="AQ176"/>
  <c r="AP176"/>
  <c r="AO176"/>
  <c r="AN176"/>
  <c r="AM176"/>
  <c r="AL176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A176"/>
  <c r="CJ175"/>
  <c r="CI175"/>
  <c r="CH175"/>
  <c r="CG175"/>
  <c r="CF175"/>
  <c r="CE175"/>
  <c r="CD175"/>
  <c r="CC175"/>
  <c r="CB175"/>
  <c r="CA175"/>
  <c r="BZ175"/>
  <c r="BY175"/>
  <c r="BX175"/>
  <c r="BW175"/>
  <c r="BV175"/>
  <c r="BU175"/>
  <c r="BT175"/>
  <c r="BS175"/>
  <c r="BR175"/>
  <c r="BQ175"/>
  <c r="BP175"/>
  <c r="BO175"/>
  <c r="BN175"/>
  <c r="BM175"/>
  <c r="BL175"/>
  <c r="BK175"/>
  <c r="BJ175"/>
  <c r="BI175"/>
  <c r="BH175"/>
  <c r="BG175"/>
  <c r="BF175"/>
  <c r="BE175"/>
  <c r="BD175"/>
  <c r="BC175"/>
  <c r="BB175"/>
  <c r="BA175"/>
  <c r="AZ175"/>
  <c r="AY175"/>
  <c r="AX175"/>
  <c r="AW175"/>
  <c r="AV175"/>
  <c r="AU175"/>
  <c r="AT175"/>
  <c r="AS175"/>
  <c r="AR175"/>
  <c r="AQ175"/>
  <c r="AP175"/>
  <c r="AO175"/>
  <c r="AN175"/>
  <c r="AM175"/>
  <c r="AL175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A175"/>
  <c r="CJ174"/>
  <c r="CI174"/>
  <c r="CH174"/>
  <c r="CG174"/>
  <c r="CF174"/>
  <c r="CE174"/>
  <c r="CD174"/>
  <c r="CC174"/>
  <c r="CB174"/>
  <c r="CA174"/>
  <c r="BZ174"/>
  <c r="BY174"/>
  <c r="BX174"/>
  <c r="BW174"/>
  <c r="BV174"/>
  <c r="BU174"/>
  <c r="BT174"/>
  <c r="BS174"/>
  <c r="BR174"/>
  <c r="BQ174"/>
  <c r="BP174"/>
  <c r="BO174"/>
  <c r="BN174"/>
  <c r="BM174"/>
  <c r="BL174"/>
  <c r="BK174"/>
  <c r="BJ174"/>
  <c r="BI174"/>
  <c r="BH174"/>
  <c r="BG174"/>
  <c r="BF174"/>
  <c r="BE174"/>
  <c r="BD174"/>
  <c r="BC174"/>
  <c r="BB174"/>
  <c r="BA174"/>
  <c r="AZ174"/>
  <c r="AY174"/>
  <c r="AX174"/>
  <c r="AW174"/>
  <c r="AV174"/>
  <c r="AU174"/>
  <c r="AT174"/>
  <c r="AS174"/>
  <c r="AR174"/>
  <c r="AQ174"/>
  <c r="AP174"/>
  <c r="AO174"/>
  <c r="AN174"/>
  <c r="AM174"/>
  <c r="AL174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A174"/>
  <c r="CJ173"/>
  <c r="CI173"/>
  <c r="CH173"/>
  <c r="CG173"/>
  <c r="CF173"/>
  <c r="CE173"/>
  <c r="CD173"/>
  <c r="CC173"/>
  <c r="CB173"/>
  <c r="CA173"/>
  <c r="BZ173"/>
  <c r="BY173"/>
  <c r="BX173"/>
  <c r="BW173"/>
  <c r="BV173"/>
  <c r="BU173"/>
  <c r="BT173"/>
  <c r="BS173"/>
  <c r="BR173"/>
  <c r="BQ173"/>
  <c r="BP173"/>
  <c r="BO173"/>
  <c r="BN173"/>
  <c r="BM173"/>
  <c r="BL173"/>
  <c r="BK173"/>
  <c r="BJ173"/>
  <c r="BI173"/>
  <c r="BH173"/>
  <c r="BG173"/>
  <c r="BF173"/>
  <c r="BE173"/>
  <c r="BD173"/>
  <c r="BC173"/>
  <c r="BB173"/>
  <c r="BA173"/>
  <c r="AZ173"/>
  <c r="AY173"/>
  <c r="AX173"/>
  <c r="AW173"/>
  <c r="AV173"/>
  <c r="AU173"/>
  <c r="AT173"/>
  <c r="AS173"/>
  <c r="AR173"/>
  <c r="AQ173"/>
  <c r="AP173"/>
  <c r="AO173"/>
  <c r="AN173"/>
  <c r="AM173"/>
  <c r="AL173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A173"/>
  <c r="CJ172"/>
  <c r="CI172"/>
  <c r="CH172"/>
  <c r="CG172"/>
  <c r="CF172"/>
  <c r="CE172"/>
  <c r="CD172"/>
  <c r="CC172"/>
  <c r="CB172"/>
  <c r="CA172"/>
  <c r="BZ172"/>
  <c r="BY172"/>
  <c r="BX172"/>
  <c r="BW172"/>
  <c r="BV172"/>
  <c r="BU172"/>
  <c r="BT172"/>
  <c r="BS172"/>
  <c r="BR172"/>
  <c r="BQ172"/>
  <c r="BP172"/>
  <c r="BO172"/>
  <c r="BN172"/>
  <c r="BM172"/>
  <c r="BL172"/>
  <c r="BK172"/>
  <c r="BJ172"/>
  <c r="BI172"/>
  <c r="BH172"/>
  <c r="BG172"/>
  <c r="BF172"/>
  <c r="BE172"/>
  <c r="BD172"/>
  <c r="BC172"/>
  <c r="BB172"/>
  <c r="BA172"/>
  <c r="AZ172"/>
  <c r="AY172"/>
  <c r="AX172"/>
  <c r="AW172"/>
  <c r="AV172"/>
  <c r="AU172"/>
  <c r="AT172"/>
  <c r="AS172"/>
  <c r="AR172"/>
  <c r="AQ172"/>
  <c r="AP172"/>
  <c r="AO172"/>
  <c r="AN172"/>
  <c r="AM172"/>
  <c r="AL172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172"/>
  <c r="CJ171"/>
  <c r="CI171"/>
  <c r="CH171"/>
  <c r="CG171"/>
  <c r="CF171"/>
  <c r="CE171"/>
  <c r="CD171"/>
  <c r="CC171"/>
  <c r="CB171"/>
  <c r="CA171"/>
  <c r="BZ171"/>
  <c r="BY171"/>
  <c r="BX171"/>
  <c r="BW171"/>
  <c r="BV171"/>
  <c r="BU171"/>
  <c r="BT171"/>
  <c r="BS171"/>
  <c r="BR171"/>
  <c r="BQ171"/>
  <c r="BP171"/>
  <c r="BO171"/>
  <c r="BN171"/>
  <c r="BM171"/>
  <c r="BL171"/>
  <c r="BK171"/>
  <c r="BJ171"/>
  <c r="BI171"/>
  <c r="BH171"/>
  <c r="BG171"/>
  <c r="BF171"/>
  <c r="BE171"/>
  <c r="BD171"/>
  <c r="BC171"/>
  <c r="BB171"/>
  <c r="BA171"/>
  <c r="AZ171"/>
  <c r="AY171"/>
  <c r="AX171"/>
  <c r="AW171"/>
  <c r="AV171"/>
  <c r="AU171"/>
  <c r="AT171"/>
  <c r="AS171"/>
  <c r="AR171"/>
  <c r="AQ171"/>
  <c r="AP171"/>
  <c r="AO171"/>
  <c r="AN171"/>
  <c r="AM171"/>
  <c r="AL171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A171"/>
  <c r="CJ170"/>
  <c r="CI170"/>
  <c r="CH170"/>
  <c r="CG170"/>
  <c r="CF170"/>
  <c r="CE170"/>
  <c r="CD170"/>
  <c r="CC170"/>
  <c r="CB170"/>
  <c r="CA170"/>
  <c r="BZ170"/>
  <c r="BY170"/>
  <c r="BX170"/>
  <c r="BW170"/>
  <c r="BV170"/>
  <c r="BU170"/>
  <c r="BT170"/>
  <c r="BS170"/>
  <c r="BR170"/>
  <c r="BQ170"/>
  <c r="BP170"/>
  <c r="BO170"/>
  <c r="BN170"/>
  <c r="BM170"/>
  <c r="BL170"/>
  <c r="BK170"/>
  <c r="BJ170"/>
  <c r="BI170"/>
  <c r="BH170"/>
  <c r="BG170"/>
  <c r="BF170"/>
  <c r="BE170"/>
  <c r="BD170"/>
  <c r="BC170"/>
  <c r="BB170"/>
  <c r="BA170"/>
  <c r="AZ170"/>
  <c r="AY170"/>
  <c r="AX170"/>
  <c r="AW170"/>
  <c r="AV170"/>
  <c r="AU170"/>
  <c r="AT170"/>
  <c r="AS170"/>
  <c r="AR170"/>
  <c r="AQ170"/>
  <c r="AP170"/>
  <c r="AO170"/>
  <c r="AN170"/>
  <c r="AM170"/>
  <c r="AL170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A170"/>
  <c r="CJ169"/>
  <c r="CI169"/>
  <c r="CH169"/>
  <c r="CG169"/>
  <c r="CF169"/>
  <c r="CE169"/>
  <c r="CD169"/>
  <c r="CC169"/>
  <c r="CB169"/>
  <c r="CA169"/>
  <c r="BZ169"/>
  <c r="BY169"/>
  <c r="BX169"/>
  <c r="BW169"/>
  <c r="BV169"/>
  <c r="BU169"/>
  <c r="BT169"/>
  <c r="BS169"/>
  <c r="BR169"/>
  <c r="BQ169"/>
  <c r="BP169"/>
  <c r="BO169"/>
  <c r="BN169"/>
  <c r="BM169"/>
  <c r="BL169"/>
  <c r="BK169"/>
  <c r="BJ169"/>
  <c r="BI169"/>
  <c r="BH169"/>
  <c r="BG169"/>
  <c r="BF169"/>
  <c r="BE169"/>
  <c r="BD169"/>
  <c r="BC169"/>
  <c r="BB169"/>
  <c r="BA169"/>
  <c r="AZ169"/>
  <c r="AY169"/>
  <c r="AX169"/>
  <c r="AW169"/>
  <c r="AV169"/>
  <c r="AU169"/>
  <c r="AT169"/>
  <c r="AS169"/>
  <c r="AR169"/>
  <c r="AQ169"/>
  <c r="AP169"/>
  <c r="AO169"/>
  <c r="AN169"/>
  <c r="AM169"/>
  <c r="AL169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A169"/>
  <c r="CJ168"/>
  <c r="CI168"/>
  <c r="CH168"/>
  <c r="CG168"/>
  <c r="CF168"/>
  <c r="CE168"/>
  <c r="CD168"/>
  <c r="CC168"/>
  <c r="CB168"/>
  <c r="CA168"/>
  <c r="BZ168"/>
  <c r="BY168"/>
  <c r="BX168"/>
  <c r="BW168"/>
  <c r="BV168"/>
  <c r="BU168"/>
  <c r="BT168"/>
  <c r="BS168"/>
  <c r="BR168"/>
  <c r="BQ168"/>
  <c r="BP168"/>
  <c r="BO168"/>
  <c r="BN168"/>
  <c r="BM168"/>
  <c r="BL168"/>
  <c r="BK168"/>
  <c r="BJ168"/>
  <c r="BI168"/>
  <c r="BH168"/>
  <c r="BG168"/>
  <c r="BF168"/>
  <c r="BE168"/>
  <c r="BD168"/>
  <c r="BC168"/>
  <c r="BB168"/>
  <c r="BA168"/>
  <c r="AZ168"/>
  <c r="AY168"/>
  <c r="AX168"/>
  <c r="AW168"/>
  <c r="AV168"/>
  <c r="AU168"/>
  <c r="AT168"/>
  <c r="AS168"/>
  <c r="AR168"/>
  <c r="AQ168"/>
  <c r="AP168"/>
  <c r="AO168"/>
  <c r="AN168"/>
  <c r="AM168"/>
  <c r="AL168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A168"/>
  <c r="CJ167"/>
  <c r="CI167"/>
  <c r="CH167"/>
  <c r="CG167"/>
  <c r="CF167"/>
  <c r="CE167"/>
  <c r="CD167"/>
  <c r="CC167"/>
  <c r="CB167"/>
  <c r="CA167"/>
  <c r="BZ167"/>
  <c r="BY167"/>
  <c r="BX167"/>
  <c r="BW167"/>
  <c r="BV167"/>
  <c r="BU167"/>
  <c r="BT167"/>
  <c r="BS167"/>
  <c r="BR167"/>
  <c r="BQ167"/>
  <c r="BP167"/>
  <c r="BO167"/>
  <c r="BN167"/>
  <c r="BM167"/>
  <c r="BL167"/>
  <c r="BK167"/>
  <c r="BJ167"/>
  <c r="BI167"/>
  <c r="BH167"/>
  <c r="BG167"/>
  <c r="BF167"/>
  <c r="BE167"/>
  <c r="BD167"/>
  <c r="BC167"/>
  <c r="BB167"/>
  <c r="BA167"/>
  <c r="AZ167"/>
  <c r="AY167"/>
  <c r="AX167"/>
  <c r="AW167"/>
  <c r="AV167"/>
  <c r="AU167"/>
  <c r="AT167"/>
  <c r="AS167"/>
  <c r="AR167"/>
  <c r="AQ167"/>
  <c r="AP167"/>
  <c r="AO167"/>
  <c r="AN167"/>
  <c r="AM167"/>
  <c r="AL167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A167"/>
  <c r="CJ166"/>
  <c r="CI166"/>
  <c r="CH166"/>
  <c r="CG166"/>
  <c r="CF166"/>
  <c r="CE166"/>
  <c r="CD166"/>
  <c r="CC166"/>
  <c r="CB166"/>
  <c r="CA166"/>
  <c r="BZ166"/>
  <c r="BY166"/>
  <c r="BX166"/>
  <c r="BW166"/>
  <c r="BV166"/>
  <c r="BU166"/>
  <c r="BT166"/>
  <c r="BS166"/>
  <c r="BR166"/>
  <c r="BQ166"/>
  <c r="BP166"/>
  <c r="BO166"/>
  <c r="BN166"/>
  <c r="BM166"/>
  <c r="BL166"/>
  <c r="BK166"/>
  <c r="BJ166"/>
  <c r="BI166"/>
  <c r="BH166"/>
  <c r="BG166"/>
  <c r="BF166"/>
  <c r="BE166"/>
  <c r="BD166"/>
  <c r="BC166"/>
  <c r="BB166"/>
  <c r="BA166"/>
  <c r="AZ166"/>
  <c r="AY166"/>
  <c r="AX166"/>
  <c r="AW166"/>
  <c r="AV166"/>
  <c r="AU166"/>
  <c r="AT166"/>
  <c r="AS166"/>
  <c r="AR166"/>
  <c r="AQ166"/>
  <c r="AP166"/>
  <c r="AO166"/>
  <c r="AN166"/>
  <c r="AM166"/>
  <c r="AL166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A166"/>
  <c r="CJ165"/>
  <c r="CI165"/>
  <c r="CH165"/>
  <c r="CG165"/>
  <c r="CF165"/>
  <c r="CE165"/>
  <c r="CD165"/>
  <c r="CC165"/>
  <c r="CB165"/>
  <c r="CA165"/>
  <c r="BZ165"/>
  <c r="BY165"/>
  <c r="BX165"/>
  <c r="BW165"/>
  <c r="BV165"/>
  <c r="BU165"/>
  <c r="BT165"/>
  <c r="BS165"/>
  <c r="BR165"/>
  <c r="BQ165"/>
  <c r="BP165"/>
  <c r="BO165"/>
  <c r="BN165"/>
  <c r="BM165"/>
  <c r="BL165"/>
  <c r="BK165"/>
  <c r="BJ165"/>
  <c r="BI165"/>
  <c r="BH165"/>
  <c r="BG165"/>
  <c r="BF165"/>
  <c r="BE165"/>
  <c r="BD165"/>
  <c r="BC165"/>
  <c r="BB165"/>
  <c r="BA165"/>
  <c r="AZ165"/>
  <c r="AY165"/>
  <c r="AX165"/>
  <c r="AW165"/>
  <c r="AV165"/>
  <c r="AU165"/>
  <c r="AT165"/>
  <c r="AS165"/>
  <c r="AR165"/>
  <c r="AQ165"/>
  <c r="AP165"/>
  <c r="AO165"/>
  <c r="AN165"/>
  <c r="AM165"/>
  <c r="AL165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165"/>
  <c r="CJ164"/>
  <c r="CI164"/>
  <c r="CH164"/>
  <c r="CG164"/>
  <c r="CF164"/>
  <c r="CE164"/>
  <c r="CD164"/>
  <c r="CC164"/>
  <c r="CB164"/>
  <c r="CA164"/>
  <c r="BZ164"/>
  <c r="BY164"/>
  <c r="BX164"/>
  <c r="BW164"/>
  <c r="BV164"/>
  <c r="BU164"/>
  <c r="BT164"/>
  <c r="BS164"/>
  <c r="BR164"/>
  <c r="BQ164"/>
  <c r="BP164"/>
  <c r="BO164"/>
  <c r="BN164"/>
  <c r="BM164"/>
  <c r="BL164"/>
  <c r="BK164"/>
  <c r="BJ164"/>
  <c r="BI164"/>
  <c r="BH164"/>
  <c r="BG164"/>
  <c r="BF164"/>
  <c r="BE164"/>
  <c r="BD164"/>
  <c r="BC164"/>
  <c r="BB164"/>
  <c r="BA164"/>
  <c r="AZ164"/>
  <c r="AY164"/>
  <c r="AX164"/>
  <c r="AW164"/>
  <c r="AV164"/>
  <c r="AU164"/>
  <c r="AT164"/>
  <c r="AS164"/>
  <c r="AR164"/>
  <c r="AQ164"/>
  <c r="AP164"/>
  <c r="AO164"/>
  <c r="AN164"/>
  <c r="AM164"/>
  <c r="AL164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A164"/>
  <c r="CJ163"/>
  <c r="CI163"/>
  <c r="CH163"/>
  <c r="CG163"/>
  <c r="CF163"/>
  <c r="CE163"/>
  <c r="CD163"/>
  <c r="CC163"/>
  <c r="CB163"/>
  <c r="CA163"/>
  <c r="BZ163"/>
  <c r="BY163"/>
  <c r="BX163"/>
  <c r="BW163"/>
  <c r="BV163"/>
  <c r="BU163"/>
  <c r="BT163"/>
  <c r="BS163"/>
  <c r="BR163"/>
  <c r="BQ163"/>
  <c r="BP163"/>
  <c r="BO163"/>
  <c r="BN163"/>
  <c r="BM163"/>
  <c r="BL163"/>
  <c r="BK163"/>
  <c r="BJ163"/>
  <c r="BI163"/>
  <c r="BH163"/>
  <c r="BG163"/>
  <c r="BF163"/>
  <c r="BE163"/>
  <c r="BD163"/>
  <c r="BC163"/>
  <c r="BB163"/>
  <c r="BA163"/>
  <c r="AZ163"/>
  <c r="AY163"/>
  <c r="AX163"/>
  <c r="AW163"/>
  <c r="AV163"/>
  <c r="AU163"/>
  <c r="AT163"/>
  <c r="AS163"/>
  <c r="AR163"/>
  <c r="AQ163"/>
  <c r="AP163"/>
  <c r="AO163"/>
  <c r="AN163"/>
  <c r="AM163"/>
  <c r="AL163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A163"/>
  <c r="CJ162"/>
  <c r="CI162"/>
  <c r="CH162"/>
  <c r="CG162"/>
  <c r="CF162"/>
  <c r="CE162"/>
  <c r="CD162"/>
  <c r="CC162"/>
  <c r="CB162"/>
  <c r="CA162"/>
  <c r="BZ162"/>
  <c r="BY162"/>
  <c r="BX162"/>
  <c r="BW162"/>
  <c r="BV162"/>
  <c r="BU162"/>
  <c r="BT162"/>
  <c r="BS162"/>
  <c r="BR162"/>
  <c r="BQ162"/>
  <c r="BP162"/>
  <c r="BO162"/>
  <c r="BN162"/>
  <c r="BM162"/>
  <c r="BL162"/>
  <c r="BK162"/>
  <c r="BJ162"/>
  <c r="BI162"/>
  <c r="BH162"/>
  <c r="BG162"/>
  <c r="BF162"/>
  <c r="BE162"/>
  <c r="BD162"/>
  <c r="BC162"/>
  <c r="BB162"/>
  <c r="BA162"/>
  <c r="AZ162"/>
  <c r="AY162"/>
  <c r="AX162"/>
  <c r="AW162"/>
  <c r="AV162"/>
  <c r="AU162"/>
  <c r="AT162"/>
  <c r="AS162"/>
  <c r="AR162"/>
  <c r="AQ162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A162"/>
  <c r="CJ161"/>
  <c r="CI161"/>
  <c r="CH161"/>
  <c r="CG161"/>
  <c r="CF161"/>
  <c r="CE161"/>
  <c r="CD161"/>
  <c r="CC161"/>
  <c r="CB161"/>
  <c r="CA161"/>
  <c r="BZ161"/>
  <c r="BY161"/>
  <c r="BX161"/>
  <c r="BW161"/>
  <c r="BV161"/>
  <c r="BU161"/>
  <c r="BT161"/>
  <c r="BS161"/>
  <c r="BR161"/>
  <c r="BQ161"/>
  <c r="BP161"/>
  <c r="BO161"/>
  <c r="BN161"/>
  <c r="BM161"/>
  <c r="BL161"/>
  <c r="BK161"/>
  <c r="BJ161"/>
  <c r="BI161"/>
  <c r="BH161"/>
  <c r="BG161"/>
  <c r="BF161"/>
  <c r="BE161"/>
  <c r="BD161"/>
  <c r="BC161"/>
  <c r="BB161"/>
  <c r="BA161"/>
  <c r="AZ161"/>
  <c r="AY161"/>
  <c r="AX161"/>
  <c r="AW161"/>
  <c r="AV161"/>
  <c r="AU161"/>
  <c r="AT161"/>
  <c r="AS161"/>
  <c r="AR161"/>
  <c r="AQ161"/>
  <c r="AP161"/>
  <c r="AO161"/>
  <c r="AN161"/>
  <c r="AM161"/>
  <c r="AL161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A161"/>
  <c r="CJ160"/>
  <c r="CI160"/>
  <c r="CH160"/>
  <c r="CG160"/>
  <c r="CF160"/>
  <c r="CE160"/>
  <c r="CD160"/>
  <c r="CC160"/>
  <c r="CB160"/>
  <c r="CA160"/>
  <c r="BZ160"/>
  <c r="BY160"/>
  <c r="BX160"/>
  <c r="BW160"/>
  <c r="BV160"/>
  <c r="BU160"/>
  <c r="BT160"/>
  <c r="BS160"/>
  <c r="BR160"/>
  <c r="BQ160"/>
  <c r="BP160"/>
  <c r="BO160"/>
  <c r="BN160"/>
  <c r="BM160"/>
  <c r="BL160"/>
  <c r="BK160"/>
  <c r="BJ160"/>
  <c r="BI160"/>
  <c r="BH160"/>
  <c r="BG160"/>
  <c r="BF160"/>
  <c r="BE160"/>
  <c r="BD160"/>
  <c r="BC160"/>
  <c r="BB160"/>
  <c r="BA160"/>
  <c r="AZ160"/>
  <c r="AY160"/>
  <c r="AX160"/>
  <c r="AW160"/>
  <c r="AV160"/>
  <c r="AU160"/>
  <c r="AT160"/>
  <c r="AS160"/>
  <c r="AR160"/>
  <c r="AQ160"/>
  <c r="AP160"/>
  <c r="AO160"/>
  <c r="AN160"/>
  <c r="AM160"/>
  <c r="AL160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A160"/>
  <c r="CJ159"/>
  <c r="CI159"/>
  <c r="CH159"/>
  <c r="CG159"/>
  <c r="CF159"/>
  <c r="CE159"/>
  <c r="CD159"/>
  <c r="CC159"/>
  <c r="CB159"/>
  <c r="CA159"/>
  <c r="BZ159"/>
  <c r="BY159"/>
  <c r="BX159"/>
  <c r="BW159"/>
  <c r="BV159"/>
  <c r="BU159"/>
  <c r="BT159"/>
  <c r="BS159"/>
  <c r="BR159"/>
  <c r="BQ159"/>
  <c r="BP159"/>
  <c r="BO159"/>
  <c r="BN159"/>
  <c r="BM159"/>
  <c r="BL159"/>
  <c r="BK159"/>
  <c r="BJ159"/>
  <c r="BI159"/>
  <c r="BH159"/>
  <c r="BG159"/>
  <c r="BF159"/>
  <c r="BE159"/>
  <c r="BD159"/>
  <c r="BC159"/>
  <c r="BB159"/>
  <c r="BA159"/>
  <c r="AZ159"/>
  <c r="AY159"/>
  <c r="AX159"/>
  <c r="AW159"/>
  <c r="AV159"/>
  <c r="AU159"/>
  <c r="AT159"/>
  <c r="AS159"/>
  <c r="AR159"/>
  <c r="AQ159"/>
  <c r="AP159"/>
  <c r="AO159"/>
  <c r="AN159"/>
  <c r="AM159"/>
  <c r="AL159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A159"/>
  <c r="CJ158"/>
  <c r="CI158"/>
  <c r="CH158"/>
  <c r="CG158"/>
  <c r="CF158"/>
  <c r="CE158"/>
  <c r="CD158"/>
  <c r="CC158"/>
  <c r="CB158"/>
  <c r="CA158"/>
  <c r="BZ158"/>
  <c r="BY158"/>
  <c r="BX158"/>
  <c r="BW158"/>
  <c r="BV158"/>
  <c r="BU158"/>
  <c r="BT158"/>
  <c r="BS158"/>
  <c r="BR158"/>
  <c r="BQ158"/>
  <c r="BP158"/>
  <c r="BO158"/>
  <c r="BN158"/>
  <c r="BM158"/>
  <c r="BL158"/>
  <c r="BK158"/>
  <c r="BJ158"/>
  <c r="BI158"/>
  <c r="BH158"/>
  <c r="BG158"/>
  <c r="BF158"/>
  <c r="BE158"/>
  <c r="BD158"/>
  <c r="BC158"/>
  <c r="BB158"/>
  <c r="BA158"/>
  <c r="AZ158"/>
  <c r="AY158"/>
  <c r="AX158"/>
  <c r="AW158"/>
  <c r="AV158"/>
  <c r="AU158"/>
  <c r="AT158"/>
  <c r="AS158"/>
  <c r="AR158"/>
  <c r="AQ158"/>
  <c r="AP158"/>
  <c r="AO158"/>
  <c r="AN158"/>
  <c r="AM158"/>
  <c r="AL158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A158"/>
  <c r="CJ157"/>
  <c r="CI157"/>
  <c r="CH157"/>
  <c r="CG157"/>
  <c r="CF157"/>
  <c r="CE157"/>
  <c r="CD157"/>
  <c r="CC157"/>
  <c r="CB157"/>
  <c r="CA157"/>
  <c r="BZ157"/>
  <c r="BY157"/>
  <c r="BX157"/>
  <c r="BW157"/>
  <c r="BV157"/>
  <c r="BU157"/>
  <c r="BT157"/>
  <c r="BS157"/>
  <c r="BR157"/>
  <c r="BQ157"/>
  <c r="BP157"/>
  <c r="BO157"/>
  <c r="BN157"/>
  <c r="BM157"/>
  <c r="BL157"/>
  <c r="BK157"/>
  <c r="BJ157"/>
  <c r="BI157"/>
  <c r="BH157"/>
  <c r="BG157"/>
  <c r="BF157"/>
  <c r="BE157"/>
  <c r="BD157"/>
  <c r="BC157"/>
  <c r="BB157"/>
  <c r="BA157"/>
  <c r="AZ157"/>
  <c r="AY157"/>
  <c r="AX157"/>
  <c r="AW157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A157"/>
  <c r="CJ156"/>
  <c r="CI156"/>
  <c r="CH156"/>
  <c r="CG156"/>
  <c r="CF156"/>
  <c r="CE156"/>
  <c r="CD156"/>
  <c r="CC156"/>
  <c r="CB156"/>
  <c r="CA156"/>
  <c r="BZ156"/>
  <c r="BY156"/>
  <c r="BX156"/>
  <c r="BW156"/>
  <c r="BV156"/>
  <c r="BU156"/>
  <c r="BT156"/>
  <c r="BS156"/>
  <c r="BR156"/>
  <c r="BQ156"/>
  <c r="BP156"/>
  <c r="BO156"/>
  <c r="BN156"/>
  <c r="BM156"/>
  <c r="BL156"/>
  <c r="BK156"/>
  <c r="BJ156"/>
  <c r="BI156"/>
  <c r="BH156"/>
  <c r="BG156"/>
  <c r="BF156"/>
  <c r="BE156"/>
  <c r="BD156"/>
  <c r="BC156"/>
  <c r="BB156"/>
  <c r="BA156"/>
  <c r="AZ156"/>
  <c r="AY156"/>
  <c r="AX156"/>
  <c r="AW156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156"/>
  <c r="CJ155"/>
  <c r="CI155"/>
  <c r="CH155"/>
  <c r="CG155"/>
  <c r="CF155"/>
  <c r="CE155"/>
  <c r="CD155"/>
  <c r="CC155"/>
  <c r="CB155"/>
  <c r="CA155"/>
  <c r="BZ155"/>
  <c r="BY155"/>
  <c r="BX155"/>
  <c r="BW155"/>
  <c r="BV155"/>
  <c r="BU155"/>
  <c r="BT155"/>
  <c r="BS155"/>
  <c r="BR155"/>
  <c r="BQ155"/>
  <c r="BP155"/>
  <c r="BO155"/>
  <c r="BN155"/>
  <c r="BM155"/>
  <c r="BL155"/>
  <c r="BK155"/>
  <c r="BJ155"/>
  <c r="BI155"/>
  <c r="BH155"/>
  <c r="BG155"/>
  <c r="BF155"/>
  <c r="BE155"/>
  <c r="BD155"/>
  <c r="BC155"/>
  <c r="BB155"/>
  <c r="BA155"/>
  <c r="AZ155"/>
  <c r="AY155"/>
  <c r="AX155"/>
  <c r="AW155"/>
  <c r="AV155"/>
  <c r="AU155"/>
  <c r="AT155"/>
  <c r="AS155"/>
  <c r="AR155"/>
  <c r="AQ155"/>
  <c r="AP155"/>
  <c r="AO155"/>
  <c r="AN155"/>
  <c r="AM155"/>
  <c r="AL155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A155"/>
  <c r="CJ154"/>
  <c r="CI154"/>
  <c r="CH154"/>
  <c r="CG154"/>
  <c r="CF154"/>
  <c r="CE154"/>
  <c r="CD154"/>
  <c r="CC154"/>
  <c r="CB154"/>
  <c r="CA154"/>
  <c r="BZ154"/>
  <c r="BY154"/>
  <c r="BX154"/>
  <c r="BW154"/>
  <c r="BV154"/>
  <c r="BU154"/>
  <c r="BT154"/>
  <c r="BS154"/>
  <c r="BR154"/>
  <c r="BQ154"/>
  <c r="BP154"/>
  <c r="BO154"/>
  <c r="BN154"/>
  <c r="BM154"/>
  <c r="BL154"/>
  <c r="BK154"/>
  <c r="BJ154"/>
  <c r="BI154"/>
  <c r="BH154"/>
  <c r="BG154"/>
  <c r="BF154"/>
  <c r="BE154"/>
  <c r="BD154"/>
  <c r="BC154"/>
  <c r="BB154"/>
  <c r="BA154"/>
  <c r="AZ154"/>
  <c r="AY154"/>
  <c r="AX154"/>
  <c r="AW154"/>
  <c r="AV154"/>
  <c r="AU154"/>
  <c r="AT154"/>
  <c r="AS154"/>
  <c r="AR154"/>
  <c r="AQ154"/>
  <c r="AP154"/>
  <c r="AO154"/>
  <c r="AN154"/>
  <c r="AM154"/>
  <c r="AL154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A154"/>
  <c r="CJ153"/>
  <c r="CI153"/>
  <c r="CH153"/>
  <c r="CG153"/>
  <c r="CF153"/>
  <c r="CE153"/>
  <c r="CD153"/>
  <c r="CC153"/>
  <c r="CB153"/>
  <c r="CA153"/>
  <c r="BZ153"/>
  <c r="BY153"/>
  <c r="BX153"/>
  <c r="BW153"/>
  <c r="BV153"/>
  <c r="BU153"/>
  <c r="BT153"/>
  <c r="BS153"/>
  <c r="BR153"/>
  <c r="BQ153"/>
  <c r="BP153"/>
  <c r="BO153"/>
  <c r="BN153"/>
  <c r="BM153"/>
  <c r="BL153"/>
  <c r="BK153"/>
  <c r="BJ153"/>
  <c r="BI153"/>
  <c r="BH153"/>
  <c r="BG153"/>
  <c r="BF153"/>
  <c r="BE153"/>
  <c r="BD153"/>
  <c r="BC153"/>
  <c r="BB153"/>
  <c r="BA153"/>
  <c r="AZ153"/>
  <c r="AY153"/>
  <c r="AX153"/>
  <c r="AW153"/>
  <c r="AV153"/>
  <c r="AU153"/>
  <c r="AT153"/>
  <c r="AS153"/>
  <c r="AR153"/>
  <c r="AQ153"/>
  <c r="AP153"/>
  <c r="AO153"/>
  <c r="AN153"/>
  <c r="AM153"/>
  <c r="AL153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153"/>
  <c r="CJ152"/>
  <c r="CI152"/>
  <c r="CH152"/>
  <c r="CG152"/>
  <c r="CF152"/>
  <c r="CE152"/>
  <c r="CD152"/>
  <c r="CC152"/>
  <c r="CB152"/>
  <c r="CA152"/>
  <c r="BZ152"/>
  <c r="BY152"/>
  <c r="BX152"/>
  <c r="BW152"/>
  <c r="BV152"/>
  <c r="BU152"/>
  <c r="BT152"/>
  <c r="BS152"/>
  <c r="BR152"/>
  <c r="BQ152"/>
  <c r="BP152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A152"/>
  <c r="CJ151"/>
  <c r="CI151"/>
  <c r="CH151"/>
  <c r="CG151"/>
  <c r="CF151"/>
  <c r="CE151"/>
  <c r="CD151"/>
  <c r="CC151"/>
  <c r="CB151"/>
  <c r="CA151"/>
  <c r="BZ151"/>
  <c r="BY151"/>
  <c r="BX151"/>
  <c r="BW151"/>
  <c r="BV151"/>
  <c r="BU151"/>
  <c r="BT151"/>
  <c r="BS151"/>
  <c r="BR151"/>
  <c r="BQ151"/>
  <c r="BP151"/>
  <c r="BO151"/>
  <c r="BN151"/>
  <c r="BM151"/>
  <c r="BL151"/>
  <c r="BK151"/>
  <c r="BJ151"/>
  <c r="BI151"/>
  <c r="BH151"/>
  <c r="BG151"/>
  <c r="BF151"/>
  <c r="BE151"/>
  <c r="BD151"/>
  <c r="BC151"/>
  <c r="BB151"/>
  <c r="BA151"/>
  <c r="AZ151"/>
  <c r="AY151"/>
  <c r="AX151"/>
  <c r="AW151"/>
  <c r="AV151"/>
  <c r="AU151"/>
  <c r="AT151"/>
  <c r="AS151"/>
  <c r="AR151"/>
  <c r="AQ151"/>
  <c r="AP151"/>
  <c r="AO151"/>
  <c r="AN151"/>
  <c r="AM151"/>
  <c r="AL151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151"/>
  <c r="CJ150"/>
  <c r="CI150"/>
  <c r="CH150"/>
  <c r="CG150"/>
  <c r="CF150"/>
  <c r="CE150"/>
  <c r="CD150"/>
  <c r="CC150"/>
  <c r="CB150"/>
  <c r="CA150"/>
  <c r="BZ150"/>
  <c r="BY150"/>
  <c r="BX150"/>
  <c r="BW150"/>
  <c r="BV150"/>
  <c r="BU150"/>
  <c r="BT150"/>
  <c r="BS150"/>
  <c r="BR150"/>
  <c r="BQ150"/>
  <c r="BP150"/>
  <c r="BO150"/>
  <c r="BN150"/>
  <c r="BM150"/>
  <c r="BL150"/>
  <c r="BK150"/>
  <c r="BJ150"/>
  <c r="BI150"/>
  <c r="BH150"/>
  <c r="BG150"/>
  <c r="BF150"/>
  <c r="BE150"/>
  <c r="BD150"/>
  <c r="BC150"/>
  <c r="BB150"/>
  <c r="BA150"/>
  <c r="AZ150"/>
  <c r="AY150"/>
  <c r="AX150"/>
  <c r="AW150"/>
  <c r="AV150"/>
  <c r="AU150"/>
  <c r="AT150"/>
  <c r="AS150"/>
  <c r="AR150"/>
  <c r="AQ150"/>
  <c r="AP150"/>
  <c r="AO150"/>
  <c r="AN150"/>
  <c r="AM150"/>
  <c r="AL150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A150"/>
  <c r="CJ149"/>
  <c r="CI149"/>
  <c r="CH149"/>
  <c r="CG149"/>
  <c r="CF149"/>
  <c r="CE149"/>
  <c r="CD149"/>
  <c r="CC149"/>
  <c r="CB149"/>
  <c r="CA149"/>
  <c r="BZ149"/>
  <c r="BY149"/>
  <c r="BX149"/>
  <c r="BW149"/>
  <c r="BV149"/>
  <c r="BU149"/>
  <c r="BT149"/>
  <c r="BS149"/>
  <c r="BR149"/>
  <c r="BQ149"/>
  <c r="BP149"/>
  <c r="BO149"/>
  <c r="BN149"/>
  <c r="BM149"/>
  <c r="BL149"/>
  <c r="BK149"/>
  <c r="BJ149"/>
  <c r="BI149"/>
  <c r="BH149"/>
  <c r="BG149"/>
  <c r="BF149"/>
  <c r="BE149"/>
  <c r="BD149"/>
  <c r="BC149"/>
  <c r="BB149"/>
  <c r="BA149"/>
  <c r="AZ149"/>
  <c r="AY149"/>
  <c r="AX149"/>
  <c r="AW149"/>
  <c r="AV149"/>
  <c r="AU149"/>
  <c r="AT149"/>
  <c r="AS149"/>
  <c r="AR149"/>
  <c r="AQ149"/>
  <c r="AP149"/>
  <c r="AO149"/>
  <c r="AN149"/>
  <c r="AM149"/>
  <c r="AL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A149"/>
  <c r="CJ148"/>
  <c r="CI148"/>
  <c r="CH148"/>
  <c r="CG148"/>
  <c r="CF148"/>
  <c r="CE148"/>
  <c r="CD148"/>
  <c r="CC148"/>
  <c r="CB148"/>
  <c r="CA148"/>
  <c r="BZ148"/>
  <c r="BY148"/>
  <c r="BX148"/>
  <c r="BW148"/>
  <c r="BV148"/>
  <c r="BU148"/>
  <c r="BT148"/>
  <c r="BS148"/>
  <c r="BR148"/>
  <c r="BQ148"/>
  <c r="BP148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148"/>
  <c r="CJ147"/>
  <c r="CI147"/>
  <c r="CH147"/>
  <c r="CG147"/>
  <c r="CF147"/>
  <c r="CE147"/>
  <c r="CD147"/>
  <c r="CC147"/>
  <c r="CB147"/>
  <c r="CA147"/>
  <c r="BZ147"/>
  <c r="BY147"/>
  <c r="BX147"/>
  <c r="BW147"/>
  <c r="BV147"/>
  <c r="BU147"/>
  <c r="BT147"/>
  <c r="BS147"/>
  <c r="BR147"/>
  <c r="BQ147"/>
  <c r="BP147"/>
  <c r="BO147"/>
  <c r="BN147"/>
  <c r="BM147"/>
  <c r="BL147"/>
  <c r="BK147"/>
  <c r="BJ147"/>
  <c r="BI147"/>
  <c r="BH147"/>
  <c r="BG147"/>
  <c r="BF147"/>
  <c r="BE147"/>
  <c r="BD147"/>
  <c r="BC147"/>
  <c r="BB147"/>
  <c r="BA147"/>
  <c r="AZ147"/>
  <c r="AY147"/>
  <c r="AX147"/>
  <c r="AW147"/>
  <c r="AV147"/>
  <c r="AU147"/>
  <c r="AT147"/>
  <c r="AS147"/>
  <c r="AR147"/>
  <c r="AQ147"/>
  <c r="AP147"/>
  <c r="AO147"/>
  <c r="AN147"/>
  <c r="AM147"/>
  <c r="AL147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A147"/>
  <c r="CJ146"/>
  <c r="CI146"/>
  <c r="CH146"/>
  <c r="CG146"/>
  <c r="CF146"/>
  <c r="CE146"/>
  <c r="CD146"/>
  <c r="CC146"/>
  <c r="CB146"/>
  <c r="CA146"/>
  <c r="BZ146"/>
  <c r="BY146"/>
  <c r="BX146"/>
  <c r="BW146"/>
  <c r="BV146"/>
  <c r="BU146"/>
  <c r="BT146"/>
  <c r="BS146"/>
  <c r="BR146"/>
  <c r="BQ146"/>
  <c r="BP146"/>
  <c r="BO146"/>
  <c r="BN146"/>
  <c r="BM146"/>
  <c r="BL146"/>
  <c r="BK146"/>
  <c r="BJ146"/>
  <c r="BI146"/>
  <c r="BH146"/>
  <c r="BG146"/>
  <c r="BF146"/>
  <c r="BE146"/>
  <c r="BD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A146"/>
  <c r="CJ145"/>
  <c r="CI145"/>
  <c r="CH145"/>
  <c r="CG145"/>
  <c r="CF145"/>
  <c r="CE145"/>
  <c r="CD145"/>
  <c r="CC145"/>
  <c r="CB145"/>
  <c r="CA145"/>
  <c r="BZ145"/>
  <c r="BY145"/>
  <c r="BX145"/>
  <c r="BW145"/>
  <c r="BV145"/>
  <c r="BU145"/>
  <c r="BT145"/>
  <c r="BS145"/>
  <c r="BR145"/>
  <c r="BQ145"/>
  <c r="BP145"/>
  <c r="BO145"/>
  <c r="BN145"/>
  <c r="BM145"/>
  <c r="BL145"/>
  <c r="BK145"/>
  <c r="BJ145"/>
  <c r="BI145"/>
  <c r="BH145"/>
  <c r="BG145"/>
  <c r="BF145"/>
  <c r="BE145"/>
  <c r="BD145"/>
  <c r="BC145"/>
  <c r="BB145"/>
  <c r="BA145"/>
  <c r="AZ145"/>
  <c r="AY145"/>
  <c r="AX145"/>
  <c r="AW145"/>
  <c r="AV145"/>
  <c r="AU145"/>
  <c r="AT145"/>
  <c r="AS145"/>
  <c r="AR145"/>
  <c r="AQ145"/>
  <c r="AP145"/>
  <c r="AO145"/>
  <c r="AN145"/>
  <c r="AM145"/>
  <c r="AL145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A145"/>
  <c r="CJ144"/>
  <c r="CI144"/>
  <c r="CH144"/>
  <c r="CG144"/>
  <c r="CF144"/>
  <c r="CE144"/>
  <c r="CD144"/>
  <c r="CC144"/>
  <c r="CB144"/>
  <c r="CA144"/>
  <c r="BZ144"/>
  <c r="BY144"/>
  <c r="BX144"/>
  <c r="BW144"/>
  <c r="BV144"/>
  <c r="BU144"/>
  <c r="BT144"/>
  <c r="BS144"/>
  <c r="BR144"/>
  <c r="BQ144"/>
  <c r="BP144"/>
  <c r="BO144"/>
  <c r="BN144"/>
  <c r="BM144"/>
  <c r="BL144"/>
  <c r="BK144"/>
  <c r="BJ144"/>
  <c r="BI144"/>
  <c r="BH144"/>
  <c r="BG144"/>
  <c r="BF144"/>
  <c r="BE144"/>
  <c r="BD144"/>
  <c r="BC144"/>
  <c r="BB144"/>
  <c r="BA144"/>
  <c r="AZ144"/>
  <c r="AY144"/>
  <c r="AX144"/>
  <c r="AW144"/>
  <c r="AV144"/>
  <c r="AU144"/>
  <c r="AT144"/>
  <c r="AS144"/>
  <c r="AR144"/>
  <c r="AQ144"/>
  <c r="AP144"/>
  <c r="AO144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A144"/>
  <c r="CJ143"/>
  <c r="CI143"/>
  <c r="CH143"/>
  <c r="CG143"/>
  <c r="CF143"/>
  <c r="CE143"/>
  <c r="CD143"/>
  <c r="CC143"/>
  <c r="CB143"/>
  <c r="CA143"/>
  <c r="BZ143"/>
  <c r="BY143"/>
  <c r="BX143"/>
  <c r="BW143"/>
  <c r="BV143"/>
  <c r="BU143"/>
  <c r="BT143"/>
  <c r="BS143"/>
  <c r="BR143"/>
  <c r="BQ143"/>
  <c r="BP143"/>
  <c r="BO143"/>
  <c r="BN143"/>
  <c r="BM143"/>
  <c r="BL143"/>
  <c r="BK143"/>
  <c r="BJ143"/>
  <c r="BI143"/>
  <c r="BH143"/>
  <c r="BG143"/>
  <c r="BF143"/>
  <c r="BE143"/>
  <c r="BD143"/>
  <c r="BC143"/>
  <c r="BB143"/>
  <c r="BA143"/>
  <c r="AZ143"/>
  <c r="AY143"/>
  <c r="AX143"/>
  <c r="AW143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A143"/>
  <c r="CJ142"/>
  <c r="CI142"/>
  <c r="CH142"/>
  <c r="CG142"/>
  <c r="CF142"/>
  <c r="CE142"/>
  <c r="CD142"/>
  <c r="CC142"/>
  <c r="CB142"/>
  <c r="CA142"/>
  <c r="BZ142"/>
  <c r="BY142"/>
  <c r="BX142"/>
  <c r="BW142"/>
  <c r="BV142"/>
  <c r="BU142"/>
  <c r="BT142"/>
  <c r="BS142"/>
  <c r="BR142"/>
  <c r="BQ142"/>
  <c r="BP142"/>
  <c r="BO142"/>
  <c r="BN142"/>
  <c r="BM142"/>
  <c r="BL142"/>
  <c r="BK142"/>
  <c r="BJ142"/>
  <c r="BI142"/>
  <c r="BH142"/>
  <c r="BG142"/>
  <c r="BF142"/>
  <c r="BE142"/>
  <c r="BD142"/>
  <c r="BC142"/>
  <c r="BB142"/>
  <c r="BA142"/>
  <c r="AZ142"/>
  <c r="AY142"/>
  <c r="AX142"/>
  <c r="AW142"/>
  <c r="AV142"/>
  <c r="AU142"/>
  <c r="AT142"/>
  <c r="AS142"/>
  <c r="AR142"/>
  <c r="AQ142"/>
  <c r="AP142"/>
  <c r="AO142"/>
  <c r="AN142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142"/>
  <c r="CJ141"/>
  <c r="CI141"/>
  <c r="CH141"/>
  <c r="CG141"/>
  <c r="CF141"/>
  <c r="CE141"/>
  <c r="CD141"/>
  <c r="CC141"/>
  <c r="CB141"/>
  <c r="CA141"/>
  <c r="BZ141"/>
  <c r="BY141"/>
  <c r="BX141"/>
  <c r="BW141"/>
  <c r="BV141"/>
  <c r="BU141"/>
  <c r="BT141"/>
  <c r="BS141"/>
  <c r="BR141"/>
  <c r="BQ141"/>
  <c r="BP141"/>
  <c r="BO141"/>
  <c r="BN141"/>
  <c r="BM141"/>
  <c r="BL141"/>
  <c r="BK141"/>
  <c r="BJ141"/>
  <c r="BI141"/>
  <c r="BH141"/>
  <c r="BG141"/>
  <c r="BF141"/>
  <c r="BE141"/>
  <c r="BD141"/>
  <c r="BC141"/>
  <c r="BB141"/>
  <c r="BA141"/>
  <c r="AZ141"/>
  <c r="AY141"/>
  <c r="AX141"/>
  <c r="AW141"/>
  <c r="AV141"/>
  <c r="AU141"/>
  <c r="AT141"/>
  <c r="AS141"/>
  <c r="AR141"/>
  <c r="AQ141"/>
  <c r="AP141"/>
  <c r="AO141"/>
  <c r="AN141"/>
  <c r="AM141"/>
  <c r="AL141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A141"/>
  <c r="CJ140"/>
  <c r="CI140"/>
  <c r="CH140"/>
  <c r="CG140"/>
  <c r="CF140"/>
  <c r="CE140"/>
  <c r="CD140"/>
  <c r="CC140"/>
  <c r="CB140"/>
  <c r="CA140"/>
  <c r="BZ140"/>
  <c r="BY140"/>
  <c r="BX140"/>
  <c r="BW140"/>
  <c r="BV140"/>
  <c r="BU140"/>
  <c r="BT140"/>
  <c r="BS140"/>
  <c r="BR140"/>
  <c r="BQ140"/>
  <c r="BP140"/>
  <c r="BO140"/>
  <c r="BN140"/>
  <c r="BM140"/>
  <c r="BL140"/>
  <c r="BK140"/>
  <c r="BJ140"/>
  <c r="BI140"/>
  <c r="BH140"/>
  <c r="BG140"/>
  <c r="BF140"/>
  <c r="BE140"/>
  <c r="BD140"/>
  <c r="BC140"/>
  <c r="BB140"/>
  <c r="BA140"/>
  <c r="AZ140"/>
  <c r="AY140"/>
  <c r="AX140"/>
  <c r="AW140"/>
  <c r="AV140"/>
  <c r="AU140"/>
  <c r="AT140"/>
  <c r="AS140"/>
  <c r="AR140"/>
  <c r="AQ140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A140"/>
  <c r="CJ139"/>
  <c r="CI139"/>
  <c r="CH139"/>
  <c r="CG139"/>
  <c r="CF139"/>
  <c r="CE139"/>
  <c r="CD139"/>
  <c r="CC139"/>
  <c r="CB139"/>
  <c r="CA139"/>
  <c r="BZ139"/>
  <c r="BY139"/>
  <c r="BX139"/>
  <c r="BW139"/>
  <c r="BV139"/>
  <c r="BU139"/>
  <c r="BT139"/>
  <c r="BS139"/>
  <c r="BR139"/>
  <c r="BQ139"/>
  <c r="BP139"/>
  <c r="BO139"/>
  <c r="BN139"/>
  <c r="BM139"/>
  <c r="BL139"/>
  <c r="BK139"/>
  <c r="BJ139"/>
  <c r="BI139"/>
  <c r="BH139"/>
  <c r="BG139"/>
  <c r="BF139"/>
  <c r="BE139"/>
  <c r="BD139"/>
  <c r="BC139"/>
  <c r="BB139"/>
  <c r="BA139"/>
  <c r="AZ139"/>
  <c r="AY139"/>
  <c r="AX139"/>
  <c r="AW139"/>
  <c r="AV139"/>
  <c r="AU139"/>
  <c r="AT139"/>
  <c r="AS139"/>
  <c r="AR139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A139"/>
  <c r="CJ138"/>
  <c r="CI138"/>
  <c r="CH138"/>
  <c r="CG138"/>
  <c r="CF138"/>
  <c r="CE138"/>
  <c r="CD138"/>
  <c r="CC138"/>
  <c r="CB138"/>
  <c r="CA138"/>
  <c r="BZ138"/>
  <c r="BY138"/>
  <c r="BX138"/>
  <c r="BW138"/>
  <c r="BV138"/>
  <c r="BU138"/>
  <c r="BT138"/>
  <c r="BS138"/>
  <c r="BR138"/>
  <c r="BQ138"/>
  <c r="BP138"/>
  <c r="BO138"/>
  <c r="BN138"/>
  <c r="BM138"/>
  <c r="BL138"/>
  <c r="BK138"/>
  <c r="BJ138"/>
  <c r="BI138"/>
  <c r="BH138"/>
  <c r="BG138"/>
  <c r="BF138"/>
  <c r="BE138"/>
  <c r="BD138"/>
  <c r="BC138"/>
  <c r="BB138"/>
  <c r="BA138"/>
  <c r="AZ138"/>
  <c r="AY138"/>
  <c r="AX138"/>
  <c r="AW138"/>
  <c r="AV138"/>
  <c r="AU138"/>
  <c r="AT138"/>
  <c r="AS138"/>
  <c r="AR138"/>
  <c r="AQ138"/>
  <c r="AP138"/>
  <c r="AO138"/>
  <c r="AN138"/>
  <c r="AM138"/>
  <c r="AL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A138"/>
  <c r="CJ137"/>
  <c r="CI137"/>
  <c r="CH137"/>
  <c r="CG137"/>
  <c r="CF137"/>
  <c r="CE137"/>
  <c r="CD137"/>
  <c r="CC137"/>
  <c r="CB137"/>
  <c r="CA137"/>
  <c r="BZ137"/>
  <c r="BY137"/>
  <c r="BX137"/>
  <c r="BW137"/>
  <c r="BV137"/>
  <c r="BU137"/>
  <c r="BT137"/>
  <c r="BS137"/>
  <c r="BR137"/>
  <c r="BQ137"/>
  <c r="BP137"/>
  <c r="BO137"/>
  <c r="BN137"/>
  <c r="BM137"/>
  <c r="BL137"/>
  <c r="BK137"/>
  <c r="BJ137"/>
  <c r="BI137"/>
  <c r="BH137"/>
  <c r="BG137"/>
  <c r="BF137"/>
  <c r="BE137"/>
  <c r="BD137"/>
  <c r="BC137"/>
  <c r="BB137"/>
  <c r="BA137"/>
  <c r="AZ137"/>
  <c r="AY137"/>
  <c r="AX137"/>
  <c r="AW137"/>
  <c r="AV137"/>
  <c r="AU137"/>
  <c r="AT137"/>
  <c r="AS137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137"/>
  <c r="CJ136"/>
  <c r="CI136"/>
  <c r="CH136"/>
  <c r="CG136"/>
  <c r="CF136"/>
  <c r="CE136"/>
  <c r="CD136"/>
  <c r="CC136"/>
  <c r="CB136"/>
  <c r="CA136"/>
  <c r="BZ136"/>
  <c r="BY136"/>
  <c r="BX136"/>
  <c r="BW136"/>
  <c r="BV136"/>
  <c r="BU136"/>
  <c r="BT136"/>
  <c r="BS136"/>
  <c r="BR136"/>
  <c r="BQ136"/>
  <c r="BP136"/>
  <c r="BO136"/>
  <c r="BN136"/>
  <c r="BM136"/>
  <c r="BL136"/>
  <c r="BK136"/>
  <c r="BJ136"/>
  <c r="BI136"/>
  <c r="BH136"/>
  <c r="BG136"/>
  <c r="BF136"/>
  <c r="BE136"/>
  <c r="BD136"/>
  <c r="BC136"/>
  <c r="BB136"/>
  <c r="BA136"/>
  <c r="AZ136"/>
  <c r="AY136"/>
  <c r="AX136"/>
  <c r="AW136"/>
  <c r="AV136"/>
  <c r="AU136"/>
  <c r="AT136"/>
  <c r="AS136"/>
  <c r="AR136"/>
  <c r="AQ136"/>
  <c r="AP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A136"/>
  <c r="CJ135"/>
  <c r="CI135"/>
  <c r="CH135"/>
  <c r="CG135"/>
  <c r="CF135"/>
  <c r="CE135"/>
  <c r="CD135"/>
  <c r="CC135"/>
  <c r="CB135"/>
  <c r="CA135"/>
  <c r="BZ135"/>
  <c r="BY135"/>
  <c r="BX135"/>
  <c r="BW135"/>
  <c r="BV135"/>
  <c r="BU135"/>
  <c r="BT135"/>
  <c r="BS135"/>
  <c r="BR135"/>
  <c r="BQ135"/>
  <c r="BP135"/>
  <c r="BO135"/>
  <c r="BN135"/>
  <c r="BM135"/>
  <c r="BL135"/>
  <c r="BK135"/>
  <c r="BJ135"/>
  <c r="BI135"/>
  <c r="BH135"/>
  <c r="BG135"/>
  <c r="BF135"/>
  <c r="BE135"/>
  <c r="BD135"/>
  <c r="BC135"/>
  <c r="BB135"/>
  <c r="BA135"/>
  <c r="AZ135"/>
  <c r="AY135"/>
  <c r="AX135"/>
  <c r="AW135"/>
  <c r="AV135"/>
  <c r="AU135"/>
  <c r="AT135"/>
  <c r="AS135"/>
  <c r="AR135"/>
  <c r="AQ135"/>
  <c r="AP135"/>
  <c r="AO135"/>
  <c r="AN135"/>
  <c r="AM135"/>
  <c r="AL135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A135"/>
  <c r="CJ134"/>
  <c r="CI134"/>
  <c r="CH134"/>
  <c r="CG134"/>
  <c r="CF134"/>
  <c r="CE134"/>
  <c r="CD134"/>
  <c r="CC134"/>
  <c r="CB134"/>
  <c r="CA134"/>
  <c r="BZ134"/>
  <c r="BY134"/>
  <c r="BX134"/>
  <c r="BW134"/>
  <c r="BV134"/>
  <c r="BU134"/>
  <c r="BT134"/>
  <c r="BS134"/>
  <c r="BR134"/>
  <c r="BQ134"/>
  <c r="BP134"/>
  <c r="BO134"/>
  <c r="BN134"/>
  <c r="BM134"/>
  <c r="BL134"/>
  <c r="BK134"/>
  <c r="BJ134"/>
  <c r="BI134"/>
  <c r="BH134"/>
  <c r="BG134"/>
  <c r="BF134"/>
  <c r="BE134"/>
  <c r="BD134"/>
  <c r="BC134"/>
  <c r="BB134"/>
  <c r="BA134"/>
  <c r="AZ134"/>
  <c r="AY134"/>
  <c r="AX134"/>
  <c r="AW134"/>
  <c r="AV134"/>
  <c r="AU134"/>
  <c r="AT134"/>
  <c r="AS134"/>
  <c r="AR134"/>
  <c r="AQ134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134"/>
  <c r="CJ133"/>
  <c r="CI133"/>
  <c r="CH133"/>
  <c r="CG133"/>
  <c r="CF133"/>
  <c r="CE133"/>
  <c r="CD133"/>
  <c r="CC133"/>
  <c r="CB133"/>
  <c r="CA133"/>
  <c r="BZ133"/>
  <c r="BY133"/>
  <c r="BX133"/>
  <c r="BW133"/>
  <c r="BV133"/>
  <c r="BU133"/>
  <c r="BT133"/>
  <c r="BS133"/>
  <c r="BR133"/>
  <c r="BQ133"/>
  <c r="BP133"/>
  <c r="BO133"/>
  <c r="BN133"/>
  <c r="BM133"/>
  <c r="BL133"/>
  <c r="BK133"/>
  <c r="BJ133"/>
  <c r="BI133"/>
  <c r="BH133"/>
  <c r="BG133"/>
  <c r="BF133"/>
  <c r="BE133"/>
  <c r="BD133"/>
  <c r="BC133"/>
  <c r="BB133"/>
  <c r="BA133"/>
  <c r="AZ133"/>
  <c r="AY133"/>
  <c r="AX133"/>
  <c r="AW133"/>
  <c r="AV133"/>
  <c r="AU133"/>
  <c r="AT133"/>
  <c r="AS133"/>
  <c r="AR133"/>
  <c r="AQ133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A133"/>
  <c r="CJ132"/>
  <c r="CI132"/>
  <c r="CH132"/>
  <c r="CG132"/>
  <c r="CF132"/>
  <c r="CE132"/>
  <c r="CD132"/>
  <c r="CC132"/>
  <c r="CB132"/>
  <c r="CA132"/>
  <c r="BZ132"/>
  <c r="BY132"/>
  <c r="BX132"/>
  <c r="BW132"/>
  <c r="BV132"/>
  <c r="BU132"/>
  <c r="BT132"/>
  <c r="BS132"/>
  <c r="BR132"/>
  <c r="BQ132"/>
  <c r="BP132"/>
  <c r="BO132"/>
  <c r="BN132"/>
  <c r="BM132"/>
  <c r="BL132"/>
  <c r="BK132"/>
  <c r="BJ132"/>
  <c r="BI132"/>
  <c r="BH132"/>
  <c r="BG132"/>
  <c r="BF132"/>
  <c r="BE132"/>
  <c r="BD132"/>
  <c r="BC132"/>
  <c r="BB132"/>
  <c r="BA132"/>
  <c r="AZ132"/>
  <c r="AY132"/>
  <c r="AX132"/>
  <c r="AW132"/>
  <c r="AV132"/>
  <c r="AU132"/>
  <c r="AT132"/>
  <c r="AS132"/>
  <c r="AR132"/>
  <c r="AQ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A132"/>
  <c r="CJ131"/>
  <c r="CI131"/>
  <c r="CH131"/>
  <c r="CG131"/>
  <c r="CF131"/>
  <c r="CE131"/>
  <c r="CD131"/>
  <c r="CC131"/>
  <c r="CB131"/>
  <c r="CA131"/>
  <c r="BZ131"/>
  <c r="BY131"/>
  <c r="BX131"/>
  <c r="BW131"/>
  <c r="BV131"/>
  <c r="BU131"/>
  <c r="BT131"/>
  <c r="BS131"/>
  <c r="BR131"/>
  <c r="BQ131"/>
  <c r="BP131"/>
  <c r="BO131"/>
  <c r="BN131"/>
  <c r="BM131"/>
  <c r="BL131"/>
  <c r="BK131"/>
  <c r="BJ131"/>
  <c r="BI131"/>
  <c r="BH131"/>
  <c r="BG131"/>
  <c r="BF131"/>
  <c r="BE131"/>
  <c r="BD131"/>
  <c r="BC131"/>
  <c r="BB131"/>
  <c r="BA131"/>
  <c r="AZ131"/>
  <c r="AY131"/>
  <c r="AX131"/>
  <c r="AW131"/>
  <c r="AV131"/>
  <c r="AU131"/>
  <c r="AT131"/>
  <c r="AS131"/>
  <c r="AR131"/>
  <c r="AQ131"/>
  <c r="AP131"/>
  <c r="AO131"/>
  <c r="AN131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A131"/>
  <c r="CJ130"/>
  <c r="CI130"/>
  <c r="CH130"/>
  <c r="CG130"/>
  <c r="CF130"/>
  <c r="CE130"/>
  <c r="CD130"/>
  <c r="CC130"/>
  <c r="CB130"/>
  <c r="CA130"/>
  <c r="BZ130"/>
  <c r="BY130"/>
  <c r="BX130"/>
  <c r="BW130"/>
  <c r="BV130"/>
  <c r="BU130"/>
  <c r="BT130"/>
  <c r="BS130"/>
  <c r="BR130"/>
  <c r="BQ130"/>
  <c r="BP130"/>
  <c r="BO130"/>
  <c r="BN130"/>
  <c r="BM130"/>
  <c r="BL130"/>
  <c r="BK130"/>
  <c r="BJ130"/>
  <c r="BI130"/>
  <c r="BH130"/>
  <c r="BG130"/>
  <c r="BF130"/>
  <c r="BE130"/>
  <c r="BD130"/>
  <c r="BC130"/>
  <c r="BB130"/>
  <c r="BA130"/>
  <c r="AZ130"/>
  <c r="AY130"/>
  <c r="AX130"/>
  <c r="AW130"/>
  <c r="AV130"/>
  <c r="AU130"/>
  <c r="AT130"/>
  <c r="AS130"/>
  <c r="AR130"/>
  <c r="AQ130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A130"/>
  <c r="CJ129"/>
  <c r="CI129"/>
  <c r="CH129"/>
  <c r="CG129"/>
  <c r="CF129"/>
  <c r="CE129"/>
  <c r="CD129"/>
  <c r="CC129"/>
  <c r="CB129"/>
  <c r="CA129"/>
  <c r="BZ129"/>
  <c r="BY129"/>
  <c r="BX129"/>
  <c r="BW129"/>
  <c r="BV129"/>
  <c r="BU129"/>
  <c r="BT129"/>
  <c r="BS129"/>
  <c r="BR129"/>
  <c r="BQ129"/>
  <c r="BP129"/>
  <c r="BO129"/>
  <c r="BN129"/>
  <c r="BM129"/>
  <c r="BL129"/>
  <c r="BK129"/>
  <c r="BJ129"/>
  <c r="BI129"/>
  <c r="BH129"/>
  <c r="BG129"/>
  <c r="BF129"/>
  <c r="BE129"/>
  <c r="BD129"/>
  <c r="BC129"/>
  <c r="BB129"/>
  <c r="BA129"/>
  <c r="AZ129"/>
  <c r="AY129"/>
  <c r="AX129"/>
  <c r="AW129"/>
  <c r="AV129"/>
  <c r="AU129"/>
  <c r="AT129"/>
  <c r="AS129"/>
  <c r="AR129"/>
  <c r="AQ129"/>
  <c r="AP129"/>
  <c r="AO129"/>
  <c r="AN129"/>
  <c r="AM129"/>
  <c r="AL129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129"/>
  <c r="CJ128"/>
  <c r="CI128"/>
  <c r="CH128"/>
  <c r="CG128"/>
  <c r="CF128"/>
  <c r="CE128"/>
  <c r="CD128"/>
  <c r="CC128"/>
  <c r="CB128"/>
  <c r="CA128"/>
  <c r="BZ128"/>
  <c r="BY128"/>
  <c r="BX128"/>
  <c r="BW128"/>
  <c r="BV128"/>
  <c r="BU128"/>
  <c r="BT128"/>
  <c r="BS128"/>
  <c r="BR128"/>
  <c r="BQ128"/>
  <c r="BP128"/>
  <c r="BO128"/>
  <c r="BN128"/>
  <c r="BM128"/>
  <c r="BL128"/>
  <c r="BK128"/>
  <c r="BJ128"/>
  <c r="BI128"/>
  <c r="BH128"/>
  <c r="BG128"/>
  <c r="BF128"/>
  <c r="BE128"/>
  <c r="BD128"/>
  <c r="BC128"/>
  <c r="BB128"/>
  <c r="BA128"/>
  <c r="AZ128"/>
  <c r="AY128"/>
  <c r="AX128"/>
  <c r="AW128"/>
  <c r="AV128"/>
  <c r="AU128"/>
  <c r="AT128"/>
  <c r="AS128"/>
  <c r="AR128"/>
  <c r="AQ128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128"/>
  <c r="CJ127"/>
  <c r="CI127"/>
  <c r="CH127"/>
  <c r="CG127"/>
  <c r="CF127"/>
  <c r="CE127"/>
  <c r="CD127"/>
  <c r="CC127"/>
  <c r="CB127"/>
  <c r="CA127"/>
  <c r="BZ127"/>
  <c r="BY127"/>
  <c r="BX127"/>
  <c r="BW127"/>
  <c r="BV127"/>
  <c r="BU127"/>
  <c r="BT127"/>
  <c r="BS127"/>
  <c r="BR127"/>
  <c r="BQ127"/>
  <c r="BP127"/>
  <c r="BO127"/>
  <c r="BN127"/>
  <c r="BM127"/>
  <c r="BL127"/>
  <c r="BK127"/>
  <c r="BJ127"/>
  <c r="BI127"/>
  <c r="BH127"/>
  <c r="BG127"/>
  <c r="BF127"/>
  <c r="BE127"/>
  <c r="BD127"/>
  <c r="BC127"/>
  <c r="BB127"/>
  <c r="BA127"/>
  <c r="AZ127"/>
  <c r="AY127"/>
  <c r="AX127"/>
  <c r="AW127"/>
  <c r="AV127"/>
  <c r="AU127"/>
  <c r="AT127"/>
  <c r="AS127"/>
  <c r="AR127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127"/>
  <c r="CJ126"/>
  <c r="CI126"/>
  <c r="CH126"/>
  <c r="CG126"/>
  <c r="CF126"/>
  <c r="CE126"/>
  <c r="CD126"/>
  <c r="CC126"/>
  <c r="CB126"/>
  <c r="CA126"/>
  <c r="BZ126"/>
  <c r="BY126"/>
  <c r="BX126"/>
  <c r="BW126"/>
  <c r="BV126"/>
  <c r="BU126"/>
  <c r="BT126"/>
  <c r="BS126"/>
  <c r="BR126"/>
  <c r="BQ126"/>
  <c r="BP126"/>
  <c r="BO126"/>
  <c r="BN126"/>
  <c r="BM126"/>
  <c r="BL126"/>
  <c r="BK126"/>
  <c r="BJ126"/>
  <c r="BI126"/>
  <c r="BH126"/>
  <c r="BG126"/>
  <c r="BF126"/>
  <c r="BE126"/>
  <c r="BD126"/>
  <c r="BC126"/>
  <c r="BB126"/>
  <c r="BA126"/>
  <c r="AZ126"/>
  <c r="AY126"/>
  <c r="AX126"/>
  <c r="AW126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A126"/>
  <c r="CJ125"/>
  <c r="CI125"/>
  <c r="CH125"/>
  <c r="CG125"/>
  <c r="CF125"/>
  <c r="CE125"/>
  <c r="CD125"/>
  <c r="CC125"/>
  <c r="CB125"/>
  <c r="CA125"/>
  <c r="BZ125"/>
  <c r="BY125"/>
  <c r="BX125"/>
  <c r="BW125"/>
  <c r="BV125"/>
  <c r="BU125"/>
  <c r="BT125"/>
  <c r="BS125"/>
  <c r="BR125"/>
  <c r="BQ125"/>
  <c r="BP125"/>
  <c r="BO125"/>
  <c r="BN125"/>
  <c r="BM125"/>
  <c r="BL125"/>
  <c r="BK125"/>
  <c r="BJ125"/>
  <c r="BI125"/>
  <c r="BH125"/>
  <c r="BG125"/>
  <c r="BF125"/>
  <c r="BE125"/>
  <c r="BD125"/>
  <c r="BC125"/>
  <c r="BB125"/>
  <c r="BA125"/>
  <c r="AZ125"/>
  <c r="AY125"/>
  <c r="AX125"/>
  <c r="AW125"/>
  <c r="AV125"/>
  <c r="AU125"/>
  <c r="AT125"/>
  <c r="AS125"/>
  <c r="AR125"/>
  <c r="AQ125"/>
  <c r="AP125"/>
  <c r="AO125"/>
  <c r="AN125"/>
  <c r="AM125"/>
  <c r="AL125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A125"/>
  <c r="CJ124"/>
  <c r="CI124"/>
  <c r="CH124"/>
  <c r="CG124"/>
  <c r="CF124"/>
  <c r="CE124"/>
  <c r="CD124"/>
  <c r="CC124"/>
  <c r="CB124"/>
  <c r="CA124"/>
  <c r="BZ124"/>
  <c r="BY124"/>
  <c r="BX124"/>
  <c r="BW124"/>
  <c r="BV124"/>
  <c r="BU124"/>
  <c r="BT124"/>
  <c r="BS124"/>
  <c r="BR124"/>
  <c r="BQ124"/>
  <c r="BP124"/>
  <c r="BO124"/>
  <c r="BN124"/>
  <c r="BM124"/>
  <c r="BL124"/>
  <c r="BK124"/>
  <c r="BJ124"/>
  <c r="BI124"/>
  <c r="BH124"/>
  <c r="BG124"/>
  <c r="BF124"/>
  <c r="BE124"/>
  <c r="BD124"/>
  <c r="BC124"/>
  <c r="BB124"/>
  <c r="BA124"/>
  <c r="AZ124"/>
  <c r="AY124"/>
  <c r="AX124"/>
  <c r="AW124"/>
  <c r="AV124"/>
  <c r="AU124"/>
  <c r="AT124"/>
  <c r="AS124"/>
  <c r="AR124"/>
  <c r="AQ124"/>
  <c r="AP124"/>
  <c r="AO124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124"/>
  <c r="CJ123"/>
  <c r="CI123"/>
  <c r="CH123"/>
  <c r="CG123"/>
  <c r="CF123"/>
  <c r="CE123"/>
  <c r="CD123"/>
  <c r="CC123"/>
  <c r="CB123"/>
  <c r="CA123"/>
  <c r="BZ123"/>
  <c r="BY123"/>
  <c r="BX123"/>
  <c r="BW123"/>
  <c r="BV123"/>
  <c r="BU123"/>
  <c r="BT123"/>
  <c r="BS123"/>
  <c r="BR123"/>
  <c r="BQ123"/>
  <c r="BP123"/>
  <c r="BO123"/>
  <c r="BN123"/>
  <c r="BM123"/>
  <c r="BL123"/>
  <c r="BK123"/>
  <c r="BJ123"/>
  <c r="BI123"/>
  <c r="BH123"/>
  <c r="BG123"/>
  <c r="BF123"/>
  <c r="BE123"/>
  <c r="BD123"/>
  <c r="BC123"/>
  <c r="BB123"/>
  <c r="BA123"/>
  <c r="AZ123"/>
  <c r="AY123"/>
  <c r="AX123"/>
  <c r="AW123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A123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122"/>
  <c r="CJ121"/>
  <c r="CI121"/>
  <c r="CH121"/>
  <c r="CG121"/>
  <c r="CF121"/>
  <c r="CE121"/>
  <c r="CD121"/>
  <c r="CC121"/>
  <c r="CB121"/>
  <c r="CA121"/>
  <c r="BZ121"/>
  <c r="BY121"/>
  <c r="BX121"/>
  <c r="BW121"/>
  <c r="BV121"/>
  <c r="BU121"/>
  <c r="BT121"/>
  <c r="BS121"/>
  <c r="BR121"/>
  <c r="BQ121"/>
  <c r="BP121"/>
  <c r="BO121"/>
  <c r="BN121"/>
  <c r="BM121"/>
  <c r="BL121"/>
  <c r="BK121"/>
  <c r="BJ121"/>
  <c r="BI121"/>
  <c r="BH121"/>
  <c r="BG121"/>
  <c r="BF121"/>
  <c r="BE121"/>
  <c r="BD121"/>
  <c r="BC121"/>
  <c r="BB121"/>
  <c r="BA121"/>
  <c r="AZ121"/>
  <c r="AY121"/>
  <c r="AX121"/>
  <c r="AW121"/>
  <c r="AV121"/>
  <c r="AU121"/>
  <c r="AT121"/>
  <c r="AS12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A121"/>
  <c r="CJ120"/>
  <c r="CI120"/>
  <c r="CH120"/>
  <c r="CG120"/>
  <c r="CF120"/>
  <c r="CE120"/>
  <c r="CD120"/>
  <c r="CC120"/>
  <c r="CB120"/>
  <c r="CA120"/>
  <c r="BZ120"/>
  <c r="BY120"/>
  <c r="BX120"/>
  <c r="BW120"/>
  <c r="BV120"/>
  <c r="BU120"/>
  <c r="BT120"/>
  <c r="BS120"/>
  <c r="BR120"/>
  <c r="BQ120"/>
  <c r="BP120"/>
  <c r="BO120"/>
  <c r="BN120"/>
  <c r="BM120"/>
  <c r="BL120"/>
  <c r="BK120"/>
  <c r="BJ120"/>
  <c r="BI120"/>
  <c r="BH120"/>
  <c r="BG120"/>
  <c r="BF120"/>
  <c r="BE120"/>
  <c r="BD120"/>
  <c r="BC120"/>
  <c r="BB120"/>
  <c r="BA120"/>
  <c r="AZ120"/>
  <c r="AY120"/>
  <c r="AX120"/>
  <c r="AW120"/>
  <c r="AV120"/>
  <c r="AU120"/>
  <c r="AT120"/>
  <c r="AS120"/>
  <c r="AR120"/>
  <c r="AQ120"/>
  <c r="AP120"/>
  <c r="AO120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120"/>
  <c r="CJ119"/>
  <c r="CI119"/>
  <c r="CH119"/>
  <c r="CG119"/>
  <c r="CF119"/>
  <c r="CE119"/>
  <c r="CD119"/>
  <c r="CC119"/>
  <c r="CB119"/>
  <c r="CA119"/>
  <c r="BZ119"/>
  <c r="BY119"/>
  <c r="BX119"/>
  <c r="BW119"/>
  <c r="BV119"/>
  <c r="BU119"/>
  <c r="BT119"/>
  <c r="BS119"/>
  <c r="BR119"/>
  <c r="BQ119"/>
  <c r="BP119"/>
  <c r="BO119"/>
  <c r="BN119"/>
  <c r="BM119"/>
  <c r="BL119"/>
  <c r="BK119"/>
  <c r="BJ119"/>
  <c r="BI119"/>
  <c r="BH119"/>
  <c r="BG119"/>
  <c r="BF119"/>
  <c r="BE119"/>
  <c r="BD119"/>
  <c r="BC119"/>
  <c r="BB119"/>
  <c r="BA119"/>
  <c r="AZ119"/>
  <c r="AY119"/>
  <c r="AX119"/>
  <c r="AW119"/>
  <c r="AV119"/>
  <c r="AU119"/>
  <c r="AT119"/>
  <c r="AS119"/>
  <c r="AR119"/>
  <c r="AQ119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119"/>
  <c r="CJ118"/>
  <c r="CI118"/>
  <c r="CH118"/>
  <c r="CG118"/>
  <c r="CF118"/>
  <c r="CE118"/>
  <c r="CD118"/>
  <c r="CC118"/>
  <c r="CB118"/>
  <c r="CA118"/>
  <c r="BZ118"/>
  <c r="BY118"/>
  <c r="BX118"/>
  <c r="BW118"/>
  <c r="BV118"/>
  <c r="BU118"/>
  <c r="BT118"/>
  <c r="BS118"/>
  <c r="BR118"/>
  <c r="BQ118"/>
  <c r="BP118"/>
  <c r="BO118"/>
  <c r="BN118"/>
  <c r="BM118"/>
  <c r="BL118"/>
  <c r="BK118"/>
  <c r="BJ118"/>
  <c r="BI118"/>
  <c r="BH118"/>
  <c r="BG118"/>
  <c r="BF118"/>
  <c r="BE118"/>
  <c r="BD118"/>
  <c r="BC118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A118"/>
  <c r="CJ117"/>
  <c r="CI117"/>
  <c r="CH117"/>
  <c r="CG117"/>
  <c r="CF117"/>
  <c r="CE117"/>
  <c r="CD117"/>
  <c r="CC117"/>
  <c r="CB117"/>
  <c r="CA117"/>
  <c r="BZ117"/>
  <c r="BY117"/>
  <c r="BX117"/>
  <c r="BW117"/>
  <c r="BV117"/>
  <c r="BU117"/>
  <c r="BT117"/>
  <c r="BS117"/>
  <c r="BR117"/>
  <c r="BQ117"/>
  <c r="BP117"/>
  <c r="BO117"/>
  <c r="BN117"/>
  <c r="BM117"/>
  <c r="BL117"/>
  <c r="BK117"/>
  <c r="BJ117"/>
  <c r="BI117"/>
  <c r="BH117"/>
  <c r="BG117"/>
  <c r="BF117"/>
  <c r="BE117"/>
  <c r="BD117"/>
  <c r="BC117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A117"/>
  <c r="CJ116"/>
  <c r="CI116"/>
  <c r="CH116"/>
  <c r="CG116"/>
  <c r="CF116"/>
  <c r="CE116"/>
  <c r="CD116"/>
  <c r="CC116"/>
  <c r="CB116"/>
  <c r="CA116"/>
  <c r="BZ116"/>
  <c r="BY116"/>
  <c r="BX116"/>
  <c r="BW116"/>
  <c r="BV116"/>
  <c r="BU116"/>
  <c r="BT116"/>
  <c r="BS116"/>
  <c r="BR116"/>
  <c r="BQ116"/>
  <c r="BP116"/>
  <c r="BO116"/>
  <c r="BN116"/>
  <c r="BM116"/>
  <c r="BL116"/>
  <c r="BK116"/>
  <c r="BJ116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A116"/>
  <c r="CJ115"/>
  <c r="CI115"/>
  <c r="CH115"/>
  <c r="CG115"/>
  <c r="CF115"/>
  <c r="CE115"/>
  <c r="CD115"/>
  <c r="CC115"/>
  <c r="CB115"/>
  <c r="CA115"/>
  <c r="BZ115"/>
  <c r="BY115"/>
  <c r="BX115"/>
  <c r="BW115"/>
  <c r="BV115"/>
  <c r="BU115"/>
  <c r="BT115"/>
  <c r="BS115"/>
  <c r="BR115"/>
  <c r="BQ115"/>
  <c r="BP115"/>
  <c r="BO115"/>
  <c r="BN115"/>
  <c r="BM115"/>
  <c r="BL115"/>
  <c r="BK115"/>
  <c r="BJ115"/>
  <c r="BI115"/>
  <c r="BH115"/>
  <c r="BG115"/>
  <c r="BF115"/>
  <c r="BE115"/>
  <c r="BD115"/>
  <c r="BC115"/>
  <c r="BB115"/>
  <c r="BA115"/>
  <c r="AZ115"/>
  <c r="AY115"/>
  <c r="AX115"/>
  <c r="AW115"/>
  <c r="AV115"/>
  <c r="AU115"/>
  <c r="AT115"/>
  <c r="AS115"/>
  <c r="AR115"/>
  <c r="AQ115"/>
  <c r="AP115"/>
  <c r="AO115"/>
  <c r="AN115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A115"/>
  <c r="CJ114"/>
  <c r="CI114"/>
  <c r="CH114"/>
  <c r="CG114"/>
  <c r="CF114"/>
  <c r="CE114"/>
  <c r="CD114"/>
  <c r="CC114"/>
  <c r="CB114"/>
  <c r="CA114"/>
  <c r="BZ114"/>
  <c r="BY114"/>
  <c r="BX114"/>
  <c r="BW114"/>
  <c r="BV114"/>
  <c r="BU114"/>
  <c r="BT114"/>
  <c r="BS114"/>
  <c r="BR114"/>
  <c r="BQ114"/>
  <c r="BP114"/>
  <c r="BO114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114"/>
  <c r="CJ113"/>
  <c r="CI113"/>
  <c r="CH113"/>
  <c r="CG113"/>
  <c r="CF113"/>
  <c r="CE113"/>
  <c r="CD113"/>
  <c r="CC113"/>
  <c r="CB113"/>
  <c r="CA113"/>
  <c r="BZ113"/>
  <c r="BY113"/>
  <c r="BX113"/>
  <c r="BW113"/>
  <c r="BV113"/>
  <c r="BU113"/>
  <c r="BT113"/>
  <c r="BS113"/>
  <c r="BR113"/>
  <c r="BQ113"/>
  <c r="BP113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A113"/>
  <c r="CJ112"/>
  <c r="CI112"/>
  <c r="CH112"/>
  <c r="CG112"/>
  <c r="CF112"/>
  <c r="CE112"/>
  <c r="CD112"/>
  <c r="CC112"/>
  <c r="CB112"/>
  <c r="CA112"/>
  <c r="BZ112"/>
  <c r="BY112"/>
  <c r="BX112"/>
  <c r="BW112"/>
  <c r="BV112"/>
  <c r="BU112"/>
  <c r="BT112"/>
  <c r="BS112"/>
  <c r="BR112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A112"/>
  <c r="CJ111"/>
  <c r="CI111"/>
  <c r="CH111"/>
  <c r="CG111"/>
  <c r="CF111"/>
  <c r="CE111"/>
  <c r="CD111"/>
  <c r="CC111"/>
  <c r="CB111"/>
  <c r="CA111"/>
  <c r="BZ111"/>
  <c r="BY111"/>
  <c r="BX111"/>
  <c r="BW111"/>
  <c r="BV111"/>
  <c r="BU111"/>
  <c r="BT111"/>
  <c r="BS111"/>
  <c r="BR111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A111"/>
  <c r="CJ110"/>
  <c r="CI110"/>
  <c r="CH110"/>
  <c r="CG110"/>
  <c r="CF110"/>
  <c r="CE110"/>
  <c r="CD110"/>
  <c r="CC110"/>
  <c r="CB110"/>
  <c r="CA110"/>
  <c r="BZ110"/>
  <c r="BY110"/>
  <c r="BX110"/>
  <c r="BW110"/>
  <c r="BV110"/>
  <c r="BU110"/>
  <c r="BT110"/>
  <c r="BS110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A110"/>
  <c r="CJ109"/>
  <c r="CI109"/>
  <c r="CH109"/>
  <c r="CG109"/>
  <c r="CF109"/>
  <c r="CE109"/>
  <c r="CD109"/>
  <c r="CC109"/>
  <c r="CB109"/>
  <c r="CA109"/>
  <c r="BZ109"/>
  <c r="BY109"/>
  <c r="BX109"/>
  <c r="BW109"/>
  <c r="BV109"/>
  <c r="BU109"/>
  <c r="BT109"/>
  <c r="BS109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A109"/>
  <c r="CJ108"/>
  <c r="CI108"/>
  <c r="CH108"/>
  <c r="CG108"/>
  <c r="CF108"/>
  <c r="CE108"/>
  <c r="CD108"/>
  <c r="CC108"/>
  <c r="CB108"/>
  <c r="CA108"/>
  <c r="BZ108"/>
  <c r="BY108"/>
  <c r="BX108"/>
  <c r="BW108"/>
  <c r="BV108"/>
  <c r="BU108"/>
  <c r="BT108"/>
  <c r="BS108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108"/>
  <c r="CJ107"/>
  <c r="CI107"/>
  <c r="CH107"/>
  <c r="CG107"/>
  <c r="CF107"/>
  <c r="CE107"/>
  <c r="CD107"/>
  <c r="CC107"/>
  <c r="CB107"/>
  <c r="CA107"/>
  <c r="BZ107"/>
  <c r="BY107"/>
  <c r="BX107"/>
  <c r="BW107"/>
  <c r="BV107"/>
  <c r="BU107"/>
  <c r="BT107"/>
  <c r="BS107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A107"/>
  <c r="CJ106"/>
  <c r="CI106"/>
  <c r="CH106"/>
  <c r="CG106"/>
  <c r="CF106"/>
  <c r="CE106"/>
  <c r="CD106"/>
  <c r="CC106"/>
  <c r="CB106"/>
  <c r="CA106"/>
  <c r="BZ106"/>
  <c r="BY106"/>
  <c r="BX106"/>
  <c r="BW106"/>
  <c r="BV106"/>
  <c r="BU106"/>
  <c r="BT106"/>
  <c r="BS106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A106"/>
  <c r="CJ105"/>
  <c r="CI105"/>
  <c r="CH105"/>
  <c r="CG105"/>
  <c r="CF105"/>
  <c r="CE105"/>
  <c r="CD105"/>
  <c r="CC105"/>
  <c r="CB105"/>
  <c r="CA105"/>
  <c r="BZ105"/>
  <c r="BY105"/>
  <c r="BX105"/>
  <c r="BW105"/>
  <c r="BV105"/>
  <c r="BU105"/>
  <c r="BT105"/>
  <c r="BS105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A105"/>
  <c r="CJ104"/>
  <c r="CI104"/>
  <c r="CH104"/>
  <c r="CG104"/>
  <c r="CF104"/>
  <c r="CE104"/>
  <c r="CD104"/>
  <c r="CC104"/>
  <c r="CB104"/>
  <c r="CA104"/>
  <c r="BZ104"/>
  <c r="BY104"/>
  <c r="BX104"/>
  <c r="BW104"/>
  <c r="BV104"/>
  <c r="BU104"/>
  <c r="BT104"/>
  <c r="BS104"/>
  <c r="BR104"/>
  <c r="BQ104"/>
  <c r="BP104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A104"/>
  <c r="CJ103"/>
  <c r="CI103"/>
  <c r="CH103"/>
  <c r="CG103"/>
  <c r="CF103"/>
  <c r="CE103"/>
  <c r="CD103"/>
  <c r="CC103"/>
  <c r="CB103"/>
  <c r="CA103"/>
  <c r="BZ103"/>
  <c r="BY103"/>
  <c r="BX103"/>
  <c r="BW103"/>
  <c r="BV103"/>
  <c r="BU103"/>
  <c r="BT103"/>
  <c r="BS103"/>
  <c r="BR103"/>
  <c r="BQ103"/>
  <c r="BP103"/>
  <c r="BO103"/>
  <c r="BN103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A103"/>
  <c r="CJ102"/>
  <c r="CI102"/>
  <c r="CH102"/>
  <c r="CG102"/>
  <c r="CF102"/>
  <c r="CE102"/>
  <c r="CD102"/>
  <c r="CC102"/>
  <c r="CB102"/>
  <c r="CA102"/>
  <c r="BZ102"/>
  <c r="BY102"/>
  <c r="BX102"/>
  <c r="BW102"/>
  <c r="BV102"/>
  <c r="BU102"/>
  <c r="BT102"/>
  <c r="BS102"/>
  <c r="BR102"/>
  <c r="BQ102"/>
  <c r="BP102"/>
  <c r="BO102"/>
  <c r="BN102"/>
  <c r="BM102"/>
  <c r="BL102"/>
  <c r="BK102"/>
  <c r="BJ102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A102"/>
  <c r="CJ101"/>
  <c r="CI101"/>
  <c r="CH101"/>
  <c r="CG101"/>
  <c r="CF101"/>
  <c r="CE101"/>
  <c r="CD101"/>
  <c r="CC101"/>
  <c r="CB101"/>
  <c r="CA101"/>
  <c r="BZ101"/>
  <c r="BY101"/>
  <c r="BX101"/>
  <c r="BW101"/>
  <c r="BV101"/>
  <c r="BU101"/>
  <c r="BT101"/>
  <c r="BS101"/>
  <c r="BR101"/>
  <c r="BQ101"/>
  <c r="BP101"/>
  <c r="BO101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101"/>
  <c r="CJ100"/>
  <c r="CI100"/>
  <c r="CH100"/>
  <c r="CG100"/>
  <c r="CF100"/>
  <c r="CE100"/>
  <c r="CD100"/>
  <c r="CC100"/>
  <c r="CB100"/>
  <c r="CA100"/>
  <c r="BZ100"/>
  <c r="BY100"/>
  <c r="BX100"/>
  <c r="BW100"/>
  <c r="BV100"/>
  <c r="BU100"/>
  <c r="BT100"/>
  <c r="BS100"/>
  <c r="BR100"/>
  <c r="BQ100"/>
  <c r="BP100"/>
  <c r="BO100"/>
  <c r="BN100"/>
  <c r="BM100"/>
  <c r="BL100"/>
  <c r="BK100"/>
  <c r="BJ100"/>
  <c r="BI100"/>
  <c r="BH100"/>
  <c r="BG100"/>
  <c r="BF100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A100"/>
  <c r="CJ99"/>
  <c r="CI99"/>
  <c r="CH99"/>
  <c r="CG99"/>
  <c r="CF99"/>
  <c r="CE99"/>
  <c r="CD99"/>
  <c r="CC99"/>
  <c r="CB99"/>
  <c r="CA99"/>
  <c r="BZ99"/>
  <c r="BY99"/>
  <c r="BX99"/>
  <c r="BW99"/>
  <c r="BV99"/>
  <c r="BU99"/>
  <c r="BT99"/>
  <c r="BS99"/>
  <c r="BR99"/>
  <c r="BQ99"/>
  <c r="BP99"/>
  <c r="BO99"/>
  <c r="BN99"/>
  <c r="BM99"/>
  <c r="BL99"/>
  <c r="BK99"/>
  <c r="BJ99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A99"/>
  <c r="CJ98"/>
  <c r="CI98"/>
  <c r="CH98"/>
  <c r="CG98"/>
  <c r="CF98"/>
  <c r="CE98"/>
  <c r="CD98"/>
  <c r="CC98"/>
  <c r="CB98"/>
  <c r="CA98"/>
  <c r="BZ98"/>
  <c r="BY98"/>
  <c r="BX98"/>
  <c r="BW98"/>
  <c r="BV98"/>
  <c r="BU98"/>
  <c r="BT98"/>
  <c r="BS98"/>
  <c r="BR98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A98"/>
  <c r="CJ97"/>
  <c r="CI97"/>
  <c r="CH97"/>
  <c r="CG97"/>
  <c r="CF97"/>
  <c r="CE97"/>
  <c r="CD97"/>
  <c r="CC97"/>
  <c r="CB97"/>
  <c r="CA97"/>
  <c r="BZ97"/>
  <c r="BY97"/>
  <c r="BX97"/>
  <c r="BW97"/>
  <c r="BV97"/>
  <c r="BU97"/>
  <c r="BT97"/>
  <c r="BS97"/>
  <c r="BR97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A97"/>
  <c r="CJ96"/>
  <c r="CI96"/>
  <c r="CH96"/>
  <c r="CG96"/>
  <c r="CF96"/>
  <c r="CE96"/>
  <c r="CD96"/>
  <c r="CC96"/>
  <c r="CB96"/>
  <c r="CA96"/>
  <c r="BZ96"/>
  <c r="BY96"/>
  <c r="BX96"/>
  <c r="BW96"/>
  <c r="BV96"/>
  <c r="BU96"/>
  <c r="BT96"/>
  <c r="BS96"/>
  <c r="BR96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A96"/>
  <c r="CJ95"/>
  <c r="CI95"/>
  <c r="CH95"/>
  <c r="CG95"/>
  <c r="CF95"/>
  <c r="CE95"/>
  <c r="CD95"/>
  <c r="CC95"/>
  <c r="CB95"/>
  <c r="CA95"/>
  <c r="BZ95"/>
  <c r="BY95"/>
  <c r="BX95"/>
  <c r="BW95"/>
  <c r="BV95"/>
  <c r="BU95"/>
  <c r="BT95"/>
  <c r="BS95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95"/>
  <c r="CJ94"/>
  <c r="CI94"/>
  <c r="CH94"/>
  <c r="CG94"/>
  <c r="CF94"/>
  <c r="CE94"/>
  <c r="CD94"/>
  <c r="CC94"/>
  <c r="CB94"/>
  <c r="CA94"/>
  <c r="BZ94"/>
  <c r="BY94"/>
  <c r="BX94"/>
  <c r="BW94"/>
  <c r="BV94"/>
  <c r="BU94"/>
  <c r="BT94"/>
  <c r="BS94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94"/>
  <c r="CJ93"/>
  <c r="CI93"/>
  <c r="CH93"/>
  <c r="CG93"/>
  <c r="CF93"/>
  <c r="CE93"/>
  <c r="CD93"/>
  <c r="CC93"/>
  <c r="CB93"/>
  <c r="CA93"/>
  <c r="BZ93"/>
  <c r="BY93"/>
  <c r="BX93"/>
  <c r="BW93"/>
  <c r="BV93"/>
  <c r="BU93"/>
  <c r="BT93"/>
  <c r="BS93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93"/>
  <c r="CJ92"/>
  <c r="CI92"/>
  <c r="CH92"/>
  <c r="CG92"/>
  <c r="CF92"/>
  <c r="CE92"/>
  <c r="CD92"/>
  <c r="CC92"/>
  <c r="CB92"/>
  <c r="CA92"/>
  <c r="BZ92"/>
  <c r="BY92"/>
  <c r="BX92"/>
  <c r="BW92"/>
  <c r="BV92"/>
  <c r="BU92"/>
  <c r="BT92"/>
  <c r="BS92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A92"/>
  <c r="CJ91"/>
  <c r="CI91"/>
  <c r="CH91"/>
  <c r="CG91"/>
  <c r="CF91"/>
  <c r="CE91"/>
  <c r="CD91"/>
  <c r="CC91"/>
  <c r="CB91"/>
  <c r="CA91"/>
  <c r="BZ91"/>
  <c r="BY91"/>
  <c r="BX91"/>
  <c r="BW91"/>
  <c r="BV91"/>
  <c r="BU91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A91"/>
  <c r="CJ90"/>
  <c r="CI90"/>
  <c r="CH90"/>
  <c r="CG90"/>
  <c r="CF90"/>
  <c r="CE90"/>
  <c r="CD90"/>
  <c r="CC90"/>
  <c r="CB90"/>
  <c r="CA90"/>
  <c r="BZ90"/>
  <c r="BY90"/>
  <c r="BX90"/>
  <c r="BW90"/>
  <c r="BV90"/>
  <c r="BU90"/>
  <c r="BT90"/>
  <c r="BS90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90"/>
  <c r="CJ89"/>
  <c r="CI89"/>
  <c r="CH89"/>
  <c r="CG89"/>
  <c r="CF89"/>
  <c r="CE89"/>
  <c r="CD89"/>
  <c r="CC89"/>
  <c r="CB89"/>
  <c r="CA89"/>
  <c r="BZ89"/>
  <c r="BY89"/>
  <c r="BX89"/>
  <c r="BW89"/>
  <c r="BV89"/>
  <c r="BU89"/>
  <c r="BT89"/>
  <c r="BS89"/>
  <c r="BR89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A89"/>
  <c r="CJ88"/>
  <c r="CI88"/>
  <c r="CH88"/>
  <c r="CG88"/>
  <c r="CF88"/>
  <c r="CE88"/>
  <c r="CD88"/>
  <c r="CC88"/>
  <c r="CB88"/>
  <c r="CA88"/>
  <c r="BZ88"/>
  <c r="BY88"/>
  <c r="BX88"/>
  <c r="BW88"/>
  <c r="BV88"/>
  <c r="BU88"/>
  <c r="BT88"/>
  <c r="BS88"/>
  <c r="BR88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A88"/>
  <c r="CJ87"/>
  <c r="CI87"/>
  <c r="CH87"/>
  <c r="CG87"/>
  <c r="CF87"/>
  <c r="CE87"/>
  <c r="CD87"/>
  <c r="CC87"/>
  <c r="CB87"/>
  <c r="CA87"/>
  <c r="BZ87"/>
  <c r="BY87"/>
  <c r="BX87"/>
  <c r="BW87"/>
  <c r="BV87"/>
  <c r="BU87"/>
  <c r="BT87"/>
  <c r="BS87"/>
  <c r="BR87"/>
  <c r="BQ87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A87"/>
  <c r="CJ86"/>
  <c r="CI86"/>
  <c r="CH86"/>
  <c r="CG86"/>
  <c r="CF86"/>
  <c r="CE86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A86"/>
  <c r="CJ85"/>
  <c r="CI85"/>
  <c r="CH85"/>
  <c r="CG85"/>
  <c r="CF85"/>
  <c r="CE85"/>
  <c r="CD85"/>
  <c r="CC85"/>
  <c r="CB85"/>
  <c r="CA85"/>
  <c r="BZ85"/>
  <c r="BY85"/>
  <c r="BX85"/>
  <c r="BW85"/>
  <c r="BV85"/>
  <c r="BU85"/>
  <c r="BT85"/>
  <c r="BS85"/>
  <c r="BR85"/>
  <c r="BQ85"/>
  <c r="BP85"/>
  <c r="BO85"/>
  <c r="BN85"/>
  <c r="BM85"/>
  <c r="BL85"/>
  <c r="BK85"/>
  <c r="BJ85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85"/>
  <c r="CJ84"/>
  <c r="CI84"/>
  <c r="CH84"/>
  <c r="CG84"/>
  <c r="CF84"/>
  <c r="CE84"/>
  <c r="CD84"/>
  <c r="CC84"/>
  <c r="CB84"/>
  <c r="CA84"/>
  <c r="BZ84"/>
  <c r="BY84"/>
  <c r="BX84"/>
  <c r="BW84"/>
  <c r="BV84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A84"/>
  <c r="CJ83"/>
  <c r="CI83"/>
  <c r="CH83"/>
  <c r="CG83"/>
  <c r="CF83"/>
  <c r="CE83"/>
  <c r="CD83"/>
  <c r="CC83"/>
  <c r="CB83"/>
  <c r="CA83"/>
  <c r="BZ83"/>
  <c r="BY83"/>
  <c r="BX83"/>
  <c r="BW83"/>
  <c r="BV83"/>
  <c r="BU83"/>
  <c r="BT83"/>
  <c r="BS83"/>
  <c r="BR83"/>
  <c r="BQ83"/>
  <c r="BP83"/>
  <c r="BO83"/>
  <c r="BN83"/>
  <c r="BM83"/>
  <c r="BL83"/>
  <c r="BK83"/>
  <c r="BJ83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83"/>
  <c r="CJ82"/>
  <c r="CI82"/>
  <c r="CH82"/>
  <c r="CG82"/>
  <c r="CF82"/>
  <c r="CE82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82"/>
  <c r="CJ81"/>
  <c r="CI81"/>
  <c r="CH81"/>
  <c r="CG81"/>
  <c r="CF81"/>
  <c r="CE81"/>
  <c r="CD81"/>
  <c r="CC81"/>
  <c r="CB81"/>
  <c r="CA81"/>
  <c r="BZ81"/>
  <c r="BY81"/>
  <c r="BX81"/>
  <c r="BW81"/>
  <c r="BV81"/>
  <c r="BU81"/>
  <c r="BT81"/>
  <c r="BS8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A81"/>
  <c r="CJ80"/>
  <c r="CI80"/>
  <c r="CH80"/>
  <c r="CG80"/>
  <c r="CF80"/>
  <c r="CE80"/>
  <c r="CD80"/>
  <c r="CC80"/>
  <c r="CB80"/>
  <c r="CA80"/>
  <c r="BZ80"/>
  <c r="BY80"/>
  <c r="BX80"/>
  <c r="BW80"/>
  <c r="BV80"/>
  <c r="BU80"/>
  <c r="BT80"/>
  <c r="BS8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A80"/>
  <c r="CJ79"/>
  <c r="CI79"/>
  <c r="CH79"/>
  <c r="CG79"/>
  <c r="CF79"/>
  <c r="CE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A79"/>
  <c r="CJ78"/>
  <c r="CI78"/>
  <c r="CH78"/>
  <c r="CG78"/>
  <c r="CF78"/>
  <c r="CE78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A78"/>
  <c r="CJ77"/>
  <c r="CI77"/>
  <c r="CH77"/>
  <c r="CG77"/>
  <c r="CF77"/>
  <c r="CE77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A77"/>
  <c r="CJ76"/>
  <c r="CI76"/>
  <c r="CH76"/>
  <c r="CG76"/>
  <c r="CF76"/>
  <c r="CE76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A76"/>
  <c r="CJ75"/>
  <c r="CI75"/>
  <c r="CH75"/>
  <c r="CG75"/>
  <c r="CF75"/>
  <c r="CE75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A75"/>
  <c r="CJ74"/>
  <c r="CI74"/>
  <c r="CH74"/>
  <c r="CG74"/>
  <c r="CF74"/>
  <c r="CE74"/>
  <c r="CD74"/>
  <c r="CC74"/>
  <c r="CB74"/>
  <c r="CA74"/>
  <c r="BZ74"/>
  <c r="BY74"/>
  <c r="BX74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74"/>
  <c r="CJ73"/>
  <c r="CI73"/>
  <c r="CH73"/>
  <c r="CG73"/>
  <c r="CF73"/>
  <c r="CE73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A73"/>
  <c r="CJ72"/>
  <c r="CI72"/>
  <c r="CH72"/>
  <c r="CG72"/>
  <c r="CF72"/>
  <c r="CE72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A72"/>
  <c r="CJ71"/>
  <c r="CI71"/>
  <c r="CH71"/>
  <c r="CG71"/>
  <c r="CF71"/>
  <c r="CE71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A71"/>
  <c r="CJ70"/>
  <c r="CI70"/>
  <c r="CH70"/>
  <c r="CG70"/>
  <c r="CF70"/>
  <c r="CE70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A70"/>
  <c r="CJ69"/>
  <c r="CI69"/>
  <c r="CH69"/>
  <c r="CG69"/>
  <c r="CF69"/>
  <c r="CE69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69"/>
  <c r="CJ68"/>
  <c r="CI68"/>
  <c r="CH68"/>
  <c r="CG68"/>
  <c r="CF68"/>
  <c r="CE68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68"/>
  <c r="CJ67"/>
  <c r="CI67"/>
  <c r="CH67"/>
  <c r="CG67"/>
  <c r="CF67"/>
  <c r="CE67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67"/>
  <c r="CJ66"/>
  <c r="CI66"/>
  <c r="CH66"/>
  <c r="CG66"/>
  <c r="CF66"/>
  <c r="CE66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66"/>
  <c r="CJ65"/>
  <c r="CI65"/>
  <c r="CH65"/>
  <c r="CG65"/>
  <c r="CF65"/>
  <c r="CE65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65"/>
  <c r="CJ64"/>
  <c r="CI64"/>
  <c r="CH64"/>
  <c r="CG64"/>
  <c r="CF64"/>
  <c r="CE64"/>
  <c r="CD64"/>
  <c r="CC64"/>
  <c r="CB64"/>
  <c r="CA64"/>
  <c r="BZ64"/>
  <c r="BY64"/>
  <c r="BX64"/>
  <c r="BW64"/>
  <c r="BV64"/>
  <c r="BU64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64"/>
  <c r="CJ63"/>
  <c r="CI63"/>
  <c r="CH63"/>
  <c r="CG63"/>
  <c r="CF63"/>
  <c r="CE63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63"/>
  <c r="CJ62"/>
  <c r="CI62"/>
  <c r="CH62"/>
  <c r="CG62"/>
  <c r="CF62"/>
  <c r="CE62"/>
  <c r="CD62"/>
  <c r="CC62"/>
  <c r="CB62"/>
  <c r="CA62"/>
  <c r="BZ62"/>
  <c r="BY62"/>
  <c r="BX62"/>
  <c r="BW62"/>
  <c r="BV62"/>
  <c r="BU62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CJ61"/>
  <c r="CI61"/>
  <c r="CH61"/>
  <c r="CG61"/>
  <c r="CF61"/>
  <c r="CE61"/>
  <c r="CD61"/>
  <c r="CC61"/>
  <c r="CB61"/>
  <c r="CA61"/>
  <c r="BZ61"/>
  <c r="BY61"/>
  <c r="BX61"/>
  <c r="BW61"/>
  <c r="BV61"/>
  <c r="BU61"/>
  <c r="BT61"/>
  <c r="BS6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61"/>
  <c r="CJ60"/>
  <c r="CI60"/>
  <c r="CH60"/>
  <c r="CG60"/>
  <c r="CF60"/>
  <c r="CE60"/>
  <c r="CD60"/>
  <c r="CC60"/>
  <c r="CB60"/>
  <c r="CA60"/>
  <c r="BZ60"/>
  <c r="BY60"/>
  <c r="BX60"/>
  <c r="BW60"/>
  <c r="BV60"/>
  <c r="BU60"/>
  <c r="BT60"/>
  <c r="BS60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60"/>
  <c r="CJ59"/>
  <c r="CI59"/>
  <c r="CH59"/>
  <c r="CG59"/>
  <c r="CF59"/>
  <c r="CE59"/>
  <c r="CD59"/>
  <c r="CC59"/>
  <c r="CB59"/>
  <c r="CA59"/>
  <c r="BZ59"/>
  <c r="BY59"/>
  <c r="BX59"/>
  <c r="BW59"/>
  <c r="BV59"/>
  <c r="BU59"/>
  <c r="BT59"/>
  <c r="BS59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59"/>
  <c r="CJ58"/>
  <c r="CI58"/>
  <c r="CH58"/>
  <c r="CG58"/>
  <c r="CF58"/>
  <c r="CE58"/>
  <c r="CD58"/>
  <c r="CC58"/>
  <c r="CB58"/>
  <c r="CA58"/>
  <c r="BZ58"/>
  <c r="BY58"/>
  <c r="BX58"/>
  <c r="BW58"/>
  <c r="BV58"/>
  <c r="BU58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58"/>
  <c r="CJ57"/>
  <c r="CI57"/>
  <c r="CH57"/>
  <c r="CG57"/>
  <c r="CF57"/>
  <c r="CE57"/>
  <c r="CD57"/>
  <c r="CC57"/>
  <c r="CB57"/>
  <c r="CA57"/>
  <c r="BZ57"/>
  <c r="BY57"/>
  <c r="BX57"/>
  <c r="BW57"/>
  <c r="BV57"/>
  <c r="BU57"/>
  <c r="BT57"/>
  <c r="BS57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57"/>
  <c r="CJ56"/>
  <c r="CI56"/>
  <c r="CH56"/>
  <c r="CG56"/>
  <c r="CF56"/>
  <c r="CE56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56"/>
  <c r="CJ55"/>
  <c r="CI55"/>
  <c r="CH55"/>
  <c r="CG55"/>
  <c r="CF55"/>
  <c r="CE55"/>
  <c r="CD55"/>
  <c r="CC55"/>
  <c r="CB55"/>
  <c r="CA55"/>
  <c r="BZ55"/>
  <c r="BY55"/>
  <c r="BX55"/>
  <c r="BW55"/>
  <c r="BV55"/>
  <c r="BU55"/>
  <c r="BT55"/>
  <c r="BS55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55"/>
  <c r="CJ54"/>
  <c r="CI54"/>
  <c r="CH54"/>
  <c r="CG54"/>
  <c r="CF54"/>
  <c r="CE54"/>
  <c r="CD54"/>
  <c r="CC54"/>
  <c r="CB54"/>
  <c r="CA54"/>
  <c r="BZ54"/>
  <c r="BY54"/>
  <c r="BX54"/>
  <c r="BW54"/>
  <c r="BV54"/>
  <c r="BU54"/>
  <c r="BT54"/>
  <c r="BS54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54"/>
  <c r="CJ53"/>
  <c r="CI53"/>
  <c r="CH53"/>
  <c r="CG53"/>
  <c r="CF53"/>
  <c r="CE53"/>
  <c r="CD53"/>
  <c r="CC53"/>
  <c r="CB53"/>
  <c r="CA53"/>
  <c r="BZ53"/>
  <c r="BY53"/>
  <c r="BX53"/>
  <c r="BW53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CJ52"/>
  <c r="CI52"/>
  <c r="CH52"/>
  <c r="CG52"/>
  <c r="CF52"/>
  <c r="CE52"/>
  <c r="CD52"/>
  <c r="CC52"/>
  <c r="CB52"/>
  <c r="CA52"/>
  <c r="BZ52"/>
  <c r="BY52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52"/>
  <c r="CJ51"/>
  <c r="CI51"/>
  <c r="CH51"/>
  <c r="CG51"/>
  <c r="CF51"/>
  <c r="CE51"/>
  <c r="CD51"/>
  <c r="CC51"/>
  <c r="CB51"/>
  <c r="CA51"/>
  <c r="BZ51"/>
  <c r="BY51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51"/>
  <c r="CJ50"/>
  <c r="CI50"/>
  <c r="CH50"/>
  <c r="CG50"/>
  <c r="CF50"/>
  <c r="CE50"/>
  <c r="CD50"/>
  <c r="CC50"/>
  <c r="CB50"/>
  <c r="CA50"/>
  <c r="BZ50"/>
  <c r="BY50"/>
  <c r="BX50"/>
  <c r="BW50"/>
  <c r="BV50"/>
  <c r="BU50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50"/>
  <c r="CJ49"/>
  <c r="CI49"/>
  <c r="CH49"/>
  <c r="CG49"/>
  <c r="CF49"/>
  <c r="CE49"/>
  <c r="CD49"/>
  <c r="CC49"/>
  <c r="CB49"/>
  <c r="CA49"/>
  <c r="BZ49"/>
  <c r="BY49"/>
  <c r="BX49"/>
  <c r="BW49"/>
  <c r="BV49"/>
  <c r="BU49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49"/>
  <c r="CJ48"/>
  <c r="CI48"/>
  <c r="CH48"/>
  <c r="CG48"/>
  <c r="CF48"/>
  <c r="CE48"/>
  <c r="CD48"/>
  <c r="CC48"/>
  <c r="CB48"/>
  <c r="CA48"/>
  <c r="BZ48"/>
  <c r="BY48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48"/>
  <c r="CJ47"/>
  <c r="CI47"/>
  <c r="CH47"/>
  <c r="CG47"/>
  <c r="CF47"/>
  <c r="CE47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47"/>
  <c r="CJ46"/>
  <c r="CI46"/>
  <c r="CH46"/>
  <c r="CG46"/>
  <c r="CF46"/>
  <c r="CE46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CJ45"/>
  <c r="CI45"/>
  <c r="CH45"/>
  <c r="CG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45"/>
  <c r="CJ44"/>
  <c r="CI44"/>
  <c r="CH44"/>
  <c r="CG44"/>
  <c r="CF44"/>
  <c r="CE44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43"/>
  <c r="CJ42"/>
  <c r="CI42"/>
  <c r="CH42"/>
  <c r="CG42"/>
  <c r="CF42"/>
  <c r="CE42"/>
  <c r="CD42"/>
  <c r="CC42"/>
  <c r="CB42"/>
  <c r="CA42"/>
  <c r="BZ42"/>
  <c r="BY42"/>
  <c r="BX42"/>
  <c r="BW42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42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41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40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39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38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37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36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34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33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32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31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30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29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28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27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26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25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24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23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22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21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20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19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18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17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16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15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14"/>
  <c r="A8"/>
</calcChain>
</file>

<file path=xl/sharedStrings.xml><?xml version="1.0" encoding="utf-8"?>
<sst xmlns="http://schemas.openxmlformats.org/spreadsheetml/2006/main" count="155" uniqueCount="67">
  <si>
    <t>№ п/п</t>
  </si>
  <si>
    <t>Адрес</t>
  </si>
  <si>
    <t>Виды работ по капитальному ремонту общего имущества МКД, которые финансируются за счет средств фонда капитального ремонта (по установленному минимальному размеру)</t>
  </si>
  <si>
    <t>Год ввода в эксплуатацию</t>
  </si>
  <si>
    <t>Ремонт внутридомовых инженерных систем</t>
  </si>
  <si>
    <t>Ремонт сетей электроснабжения</t>
  </si>
  <si>
    <t>Год последнего ремонта</t>
  </si>
  <si>
    <t>Износ, %</t>
  </si>
  <si>
    <t>Планируемый год ремонта</t>
  </si>
  <si>
    <t>Прибор учета</t>
  </si>
  <si>
    <t>Установлен</t>
  </si>
  <si>
    <t>Ремонт сетей теплоснабжения</t>
  </si>
  <si>
    <t>Узел управления</t>
  </si>
  <si>
    <t>Ремонт сетей газоснабжения</t>
  </si>
  <si>
    <t>Ремонт сетей холодного водоснабжения</t>
  </si>
  <si>
    <t>Ремонт сетей горячего водоснабжения</t>
  </si>
  <si>
    <t>Ремонт систем водоотведения</t>
  </si>
  <si>
    <t>Ремонт крыши</t>
  </si>
  <si>
    <t>Ремонт или замена лифтового оборудования</t>
  </si>
  <si>
    <t>Наличие</t>
  </si>
  <si>
    <t>Ремонт подвальных помещений</t>
  </si>
  <si>
    <t>Утепление и ремонт фасадов</t>
  </si>
  <si>
    <t>Ремонт фундаментов</t>
  </si>
  <si>
    <t>Всего процент износа многоквартирного дома на основании данных обследования технического состояния МКД</t>
  </si>
  <si>
    <t>В том числе, введены сведения по капитальному ремонту:</t>
  </si>
  <si>
    <t>Ввод сведений по капитальному ремонту</t>
  </si>
  <si>
    <t>Полностью</t>
  </si>
  <si>
    <t>Частично</t>
  </si>
  <si>
    <t>Не заполнено</t>
  </si>
  <si>
    <t>Район/Городской округ</t>
  </si>
  <si>
    <t>Всего домов</t>
  </si>
  <si>
    <t>Процент заполнения</t>
  </si>
  <si>
    <t>ИТОГО:</t>
  </si>
  <si>
    <t>Планируемый период ремонта</t>
  </si>
  <si>
    <t>Планируемый преиод проведения комплексного ремонта</t>
  </si>
  <si>
    <t xml:space="preserve">   - не заполнено по 0 домам</t>
  </si>
  <si>
    <t xml:space="preserve">   - частично по 0 домам</t>
  </si>
  <si>
    <t>Всего домов: 267</t>
  </si>
  <si>
    <t xml:space="preserve">   - полностью по 267 домам</t>
  </si>
  <si>
    <t>Бабаевский р-н</t>
  </si>
  <si>
    <t>Бабушкинский р-н</t>
  </si>
  <si>
    <t>Белозерский р-н</t>
  </si>
  <si>
    <t>Вашкинский р-н</t>
  </si>
  <si>
    <t>Великоустюгский р-н</t>
  </si>
  <si>
    <t>Верховажский р-н</t>
  </si>
  <si>
    <t>Вожегодский р-н</t>
  </si>
  <si>
    <t>Вологда г</t>
  </si>
  <si>
    <t>Вологодский р-н</t>
  </si>
  <si>
    <t>Вытегорский р-н</t>
  </si>
  <si>
    <t>Грязовецкий р-н</t>
  </si>
  <si>
    <t>Кадуйский р-н</t>
  </si>
  <si>
    <t>Кирилловский р-н</t>
  </si>
  <si>
    <t>Кичменгско-Городецкий р-н</t>
  </si>
  <si>
    <t>Междуреченский р-н</t>
  </si>
  <si>
    <t>Никольский р-н</t>
  </si>
  <si>
    <t>Нюксенский р-н</t>
  </si>
  <si>
    <t>Сокольский р-н</t>
  </si>
  <si>
    <t>Сямженский р-н</t>
  </si>
  <si>
    <t>Тарногский р-н</t>
  </si>
  <si>
    <t>Тотемский р-н</t>
  </si>
  <si>
    <t>Усть-Кубинский р-н</t>
  </si>
  <si>
    <t>Устюженский р-н</t>
  </si>
  <si>
    <t>Харовский р-н</t>
  </si>
  <si>
    <t>Чагодощенский р-н</t>
  </si>
  <si>
    <t>Череповец г</t>
  </si>
  <si>
    <t>Череповецкий р-н</t>
  </si>
  <si>
    <t>Шекснинский р-н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</si>
</sst>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204"/>
    </font>
    <font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9"/>
      <color theme="1"/>
      <name val="Arial"/>
      <charset val="204"/>
    </font>
    <font>
      <sz val="10"/>
      <color theme="1"/>
      <name val="Arial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textRotation="9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5" xfId="0" applyFont="1" applyFill="1" applyBorder="1" applyAlignment="1">
      <alignment horizontal="center" textRotation="90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left" vertical="center"/>
    </xf>
    <xf numFmtId="0" fontId="2" fillId="8" borderId="10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horizontal="left" vertical="center"/>
    </xf>
    <xf numFmtId="0" fontId="1" fillId="8" borderId="11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8" borderId="9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textRotation="90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280"/>
  <sheetViews>
    <sheetView tabSelected="1" topLeftCell="A256" workbookViewId="0">
      <selection activeCell="E291" sqref="E291"/>
    </sheetView>
  </sheetViews>
  <sheetFormatPr defaultColWidth="9.140625" defaultRowHeight="12.75" customHeight="1"/>
  <cols>
    <col min="1" max="1" width="7.140625" customWidth="1"/>
    <col min="2" max="2" width="30.85546875" customWidth="1"/>
    <col min="3" max="3" width="6.7109375" customWidth="1"/>
    <col min="4" max="5" width="4.5703125" customWidth="1"/>
    <col min="6" max="6" width="8.42578125" customWidth="1"/>
    <col min="7" max="9" width="4.5703125" customWidth="1"/>
    <col min="10" max="10" width="8.42578125" customWidth="1"/>
    <col min="11" max="13" width="4.5703125" customWidth="1"/>
    <col min="14" max="14" width="8.42578125" customWidth="1"/>
    <col min="15" max="16" width="4.5703125" customWidth="1"/>
    <col min="17" max="17" width="8.42578125" customWidth="1"/>
    <col min="18" max="20" width="4.5703125" customWidth="1"/>
    <col min="21" max="21" width="8.42578125" customWidth="1"/>
    <col min="22" max="24" width="4.5703125" customWidth="1"/>
    <col min="25" max="25" width="8.42578125" customWidth="1"/>
    <col min="26" max="27" width="4.5703125" customWidth="1"/>
    <col min="28" max="28" width="8.42578125" customWidth="1"/>
    <col min="29" max="31" width="4.5703125" customWidth="1"/>
    <col min="32" max="32" width="8.42578125" customWidth="1"/>
    <col min="33" max="35" width="4.5703125" customWidth="1"/>
    <col min="36" max="36" width="8.42578125" customWidth="1"/>
    <col min="37" max="38" width="4.5703125" customWidth="1"/>
    <col min="39" max="39" width="8.42578125" customWidth="1"/>
    <col min="40" max="42" width="4.5703125" customWidth="1"/>
    <col min="43" max="43" width="8.42578125" customWidth="1"/>
    <col min="44" max="46" width="4.5703125" customWidth="1"/>
    <col min="47" max="47" width="8.42578125" customWidth="1"/>
    <col min="48" max="49" width="4.5703125" customWidth="1"/>
    <col min="50" max="50" width="8.42578125" customWidth="1"/>
    <col min="51" max="53" width="4.5703125" customWidth="1"/>
    <col min="54" max="54" width="8.42578125" customWidth="1"/>
    <col min="55" max="57" width="4.5703125" customWidth="1"/>
    <col min="58" max="58" width="8.42578125" customWidth="1"/>
    <col min="59" max="60" width="4.5703125" customWidth="1"/>
    <col min="61" max="61" width="8.42578125" customWidth="1"/>
    <col min="62" max="64" width="4.5703125" customWidth="1"/>
    <col min="65" max="65" width="8.42578125" customWidth="1"/>
    <col min="66" max="68" width="4.5703125" customWidth="1"/>
    <col min="69" max="69" width="8.42578125" customWidth="1"/>
    <col min="70" max="71" width="4.5703125" customWidth="1"/>
    <col min="72" max="72" width="8.42578125" customWidth="1"/>
    <col min="73" max="75" width="4.5703125" customWidth="1"/>
    <col min="76" max="76" width="8.42578125" customWidth="1"/>
    <col min="77" max="79" width="4.5703125" customWidth="1"/>
    <col min="80" max="80" width="8.42578125" customWidth="1"/>
    <col min="81" max="82" width="4.5703125" customWidth="1"/>
    <col min="83" max="83" width="8.42578125" customWidth="1"/>
    <col min="84" max="85" width="4.5703125" customWidth="1"/>
    <col min="86" max="86" width="8.42578125" customWidth="1"/>
    <col min="87" max="88" width="9.140625" customWidth="1"/>
  </cols>
  <sheetData>
    <row r="1" spans="1:88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ht="14.25" customHeight="1">
      <c r="A2" s="30" t="s">
        <v>0</v>
      </c>
      <c r="B2" s="30" t="s">
        <v>1</v>
      </c>
      <c r="C2" s="31" t="s">
        <v>3</v>
      </c>
      <c r="D2" s="32" t="s">
        <v>2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3" t="s">
        <v>23</v>
      </c>
      <c r="CJ2" s="33" t="s">
        <v>34</v>
      </c>
    </row>
    <row r="3" spans="1:88" ht="22.5" customHeight="1">
      <c r="A3" s="30"/>
      <c r="B3" s="30"/>
      <c r="C3" s="31"/>
      <c r="D3" s="34" t="s">
        <v>4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 t="s">
        <v>17</v>
      </c>
      <c r="BS3" s="34"/>
      <c r="BT3" s="34"/>
      <c r="BU3" s="35" t="s">
        <v>18</v>
      </c>
      <c r="BV3" s="35"/>
      <c r="BW3" s="35"/>
      <c r="BX3" s="35"/>
      <c r="BY3" s="36" t="s">
        <v>20</v>
      </c>
      <c r="BZ3" s="36"/>
      <c r="CA3" s="36"/>
      <c r="CB3" s="37"/>
      <c r="CC3" s="35" t="s">
        <v>21</v>
      </c>
      <c r="CD3" s="35"/>
      <c r="CE3" s="35"/>
      <c r="CF3" s="35" t="s">
        <v>22</v>
      </c>
      <c r="CG3" s="35"/>
      <c r="CH3" s="40"/>
      <c r="CI3" s="33"/>
      <c r="CJ3" s="33"/>
    </row>
    <row r="4" spans="1:88" ht="14.25" customHeight="1">
      <c r="A4" s="30"/>
      <c r="B4" s="30"/>
      <c r="C4" s="31"/>
      <c r="D4" s="41" t="s">
        <v>5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 t="s">
        <v>11</v>
      </c>
      <c r="P4" s="41"/>
      <c r="Q4" s="41"/>
      <c r="R4" s="41"/>
      <c r="S4" s="41"/>
      <c r="T4" s="41"/>
      <c r="U4" s="41"/>
      <c r="V4" s="41"/>
      <c r="W4" s="41"/>
      <c r="X4" s="41"/>
      <c r="Y4" s="41"/>
      <c r="Z4" s="41" t="s">
        <v>13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 t="s">
        <v>14</v>
      </c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 t="s">
        <v>15</v>
      </c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 t="s">
        <v>16</v>
      </c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34"/>
      <c r="BS4" s="34"/>
      <c r="BT4" s="34"/>
      <c r="BU4" s="35"/>
      <c r="BV4" s="35"/>
      <c r="BW4" s="35"/>
      <c r="BX4" s="35"/>
      <c r="BY4" s="38"/>
      <c r="BZ4" s="39"/>
      <c r="CA4" s="39"/>
      <c r="CB4" s="39"/>
      <c r="CC4" s="35"/>
      <c r="CD4" s="35"/>
      <c r="CE4" s="35"/>
      <c r="CF4" s="35"/>
      <c r="CG4" s="40"/>
      <c r="CH4" s="40"/>
      <c r="CI4" s="33"/>
      <c r="CJ4" s="33"/>
    </row>
    <row r="5" spans="1:88" ht="14.25" customHeight="1">
      <c r="A5" s="30"/>
      <c r="B5" s="30"/>
      <c r="C5" s="31"/>
      <c r="D5" s="15" t="s">
        <v>6</v>
      </c>
      <c r="E5" s="15" t="s">
        <v>7</v>
      </c>
      <c r="F5" s="15" t="s">
        <v>33</v>
      </c>
      <c r="G5" s="19" t="s">
        <v>9</v>
      </c>
      <c r="H5" s="20"/>
      <c r="I5" s="20"/>
      <c r="J5" s="20"/>
      <c r="K5" s="21" t="s">
        <v>12</v>
      </c>
      <c r="L5" s="21"/>
      <c r="M5" s="21"/>
      <c r="N5" s="21"/>
      <c r="O5" s="15" t="s">
        <v>6</v>
      </c>
      <c r="P5" s="15" t="s">
        <v>7</v>
      </c>
      <c r="Q5" s="15" t="s">
        <v>8</v>
      </c>
      <c r="R5" s="19" t="s">
        <v>9</v>
      </c>
      <c r="S5" s="20"/>
      <c r="T5" s="20"/>
      <c r="U5" s="20"/>
      <c r="V5" s="21" t="s">
        <v>12</v>
      </c>
      <c r="W5" s="21"/>
      <c r="X5" s="21"/>
      <c r="Y5" s="21"/>
      <c r="Z5" s="15" t="s">
        <v>6</v>
      </c>
      <c r="AA5" s="15" t="s">
        <v>7</v>
      </c>
      <c r="AB5" s="15" t="s">
        <v>8</v>
      </c>
      <c r="AC5" s="19" t="s">
        <v>9</v>
      </c>
      <c r="AD5" s="20"/>
      <c r="AE5" s="20"/>
      <c r="AF5" s="20"/>
      <c r="AG5" s="21" t="s">
        <v>12</v>
      </c>
      <c r="AH5" s="21"/>
      <c r="AI5" s="21"/>
      <c r="AJ5" s="21"/>
      <c r="AK5" s="15" t="s">
        <v>6</v>
      </c>
      <c r="AL5" s="15" t="s">
        <v>7</v>
      </c>
      <c r="AM5" s="15" t="s">
        <v>8</v>
      </c>
      <c r="AN5" s="19" t="s">
        <v>9</v>
      </c>
      <c r="AO5" s="20"/>
      <c r="AP5" s="20"/>
      <c r="AQ5" s="20"/>
      <c r="AR5" s="21" t="s">
        <v>12</v>
      </c>
      <c r="AS5" s="21"/>
      <c r="AT5" s="21"/>
      <c r="AU5" s="21"/>
      <c r="AV5" s="15" t="s">
        <v>6</v>
      </c>
      <c r="AW5" s="15" t="s">
        <v>7</v>
      </c>
      <c r="AX5" s="15" t="s">
        <v>33</v>
      </c>
      <c r="AY5" s="19" t="s">
        <v>9</v>
      </c>
      <c r="AZ5" s="20"/>
      <c r="BA5" s="20"/>
      <c r="BB5" s="20"/>
      <c r="BC5" s="21" t="s">
        <v>12</v>
      </c>
      <c r="BD5" s="21"/>
      <c r="BE5" s="21"/>
      <c r="BF5" s="21"/>
      <c r="BG5" s="15" t="s">
        <v>6</v>
      </c>
      <c r="BH5" s="15" t="s">
        <v>7</v>
      </c>
      <c r="BI5" s="15" t="s">
        <v>33</v>
      </c>
      <c r="BJ5" s="19" t="s">
        <v>9</v>
      </c>
      <c r="BK5" s="20"/>
      <c r="BL5" s="20"/>
      <c r="BM5" s="20"/>
      <c r="BN5" s="21" t="s">
        <v>12</v>
      </c>
      <c r="BO5" s="21"/>
      <c r="BP5" s="21"/>
      <c r="BQ5" s="21"/>
      <c r="BR5" s="15" t="s">
        <v>6</v>
      </c>
      <c r="BS5" s="15" t="s">
        <v>7</v>
      </c>
      <c r="BT5" s="15" t="s">
        <v>33</v>
      </c>
      <c r="BU5" s="15" t="s">
        <v>19</v>
      </c>
      <c r="BV5" s="15" t="s">
        <v>6</v>
      </c>
      <c r="BW5" s="15" t="s">
        <v>7</v>
      </c>
      <c r="BX5" s="15" t="s">
        <v>33</v>
      </c>
      <c r="BY5" s="17" t="s">
        <v>19</v>
      </c>
      <c r="BZ5" s="15" t="s">
        <v>6</v>
      </c>
      <c r="CA5" s="15" t="s">
        <v>7</v>
      </c>
      <c r="CB5" s="15" t="s">
        <v>33</v>
      </c>
      <c r="CC5" s="15" t="s">
        <v>6</v>
      </c>
      <c r="CD5" s="15" t="s">
        <v>7</v>
      </c>
      <c r="CE5" s="15" t="s">
        <v>33</v>
      </c>
      <c r="CF5" s="15" t="s">
        <v>6</v>
      </c>
      <c r="CG5" s="15" t="s">
        <v>7</v>
      </c>
      <c r="CH5" s="16" t="s">
        <v>33</v>
      </c>
      <c r="CI5" s="33"/>
      <c r="CJ5" s="33"/>
    </row>
    <row r="6" spans="1:88" ht="120" customHeight="1">
      <c r="A6" s="30"/>
      <c r="B6" s="30"/>
      <c r="C6" s="31"/>
      <c r="D6" s="15"/>
      <c r="E6" s="15"/>
      <c r="F6" s="15"/>
      <c r="G6" s="5" t="s">
        <v>10</v>
      </c>
      <c r="H6" s="5" t="s">
        <v>6</v>
      </c>
      <c r="I6" s="5" t="s">
        <v>7</v>
      </c>
      <c r="J6" s="5" t="s">
        <v>33</v>
      </c>
      <c r="K6" s="5" t="s">
        <v>10</v>
      </c>
      <c r="L6" s="5" t="s">
        <v>6</v>
      </c>
      <c r="M6" s="5" t="s">
        <v>7</v>
      </c>
      <c r="N6" s="5" t="s">
        <v>33</v>
      </c>
      <c r="O6" s="15"/>
      <c r="P6" s="15"/>
      <c r="Q6" s="15"/>
      <c r="R6" s="5" t="s">
        <v>10</v>
      </c>
      <c r="S6" s="5" t="s">
        <v>6</v>
      </c>
      <c r="T6" s="5" t="s">
        <v>7</v>
      </c>
      <c r="U6" s="5" t="s">
        <v>33</v>
      </c>
      <c r="V6" s="5" t="s">
        <v>10</v>
      </c>
      <c r="W6" s="5" t="s">
        <v>6</v>
      </c>
      <c r="X6" s="5" t="s">
        <v>7</v>
      </c>
      <c r="Y6" s="5" t="s">
        <v>33</v>
      </c>
      <c r="Z6" s="15"/>
      <c r="AA6" s="15"/>
      <c r="AB6" s="15"/>
      <c r="AC6" s="5" t="s">
        <v>10</v>
      </c>
      <c r="AD6" s="5" t="s">
        <v>6</v>
      </c>
      <c r="AE6" s="5" t="s">
        <v>7</v>
      </c>
      <c r="AF6" s="5" t="s">
        <v>33</v>
      </c>
      <c r="AG6" s="5" t="s">
        <v>10</v>
      </c>
      <c r="AH6" s="5" t="s">
        <v>6</v>
      </c>
      <c r="AI6" s="5" t="s">
        <v>7</v>
      </c>
      <c r="AJ6" s="5" t="s">
        <v>33</v>
      </c>
      <c r="AK6" s="15"/>
      <c r="AL6" s="15"/>
      <c r="AM6" s="15"/>
      <c r="AN6" s="5" t="s">
        <v>10</v>
      </c>
      <c r="AO6" s="5" t="s">
        <v>6</v>
      </c>
      <c r="AP6" s="5" t="s">
        <v>7</v>
      </c>
      <c r="AQ6" s="5" t="s">
        <v>33</v>
      </c>
      <c r="AR6" s="5" t="s">
        <v>10</v>
      </c>
      <c r="AS6" s="5" t="s">
        <v>6</v>
      </c>
      <c r="AT6" s="5" t="s">
        <v>7</v>
      </c>
      <c r="AU6" s="5" t="s">
        <v>33</v>
      </c>
      <c r="AV6" s="15"/>
      <c r="AW6" s="15"/>
      <c r="AX6" s="15"/>
      <c r="AY6" s="5" t="s">
        <v>10</v>
      </c>
      <c r="AZ6" s="5" t="s">
        <v>6</v>
      </c>
      <c r="BA6" s="5" t="s">
        <v>7</v>
      </c>
      <c r="BB6" s="5" t="s">
        <v>33</v>
      </c>
      <c r="BC6" s="5" t="s">
        <v>10</v>
      </c>
      <c r="BD6" s="5" t="s">
        <v>6</v>
      </c>
      <c r="BE6" s="5" t="s">
        <v>7</v>
      </c>
      <c r="BF6" s="5" t="s">
        <v>33</v>
      </c>
      <c r="BG6" s="15"/>
      <c r="BH6" s="15"/>
      <c r="BI6" s="15"/>
      <c r="BJ6" s="5" t="s">
        <v>10</v>
      </c>
      <c r="BK6" s="5" t="s">
        <v>6</v>
      </c>
      <c r="BL6" s="5" t="s">
        <v>7</v>
      </c>
      <c r="BM6" s="5" t="s">
        <v>33</v>
      </c>
      <c r="BN6" s="5" t="s">
        <v>10</v>
      </c>
      <c r="BO6" s="5" t="s">
        <v>6</v>
      </c>
      <c r="BP6" s="5" t="s">
        <v>7</v>
      </c>
      <c r="BQ6" s="5" t="s">
        <v>33</v>
      </c>
      <c r="BR6" s="15"/>
      <c r="BS6" s="15"/>
      <c r="BT6" s="15"/>
      <c r="BU6" s="15"/>
      <c r="BV6" s="15"/>
      <c r="BW6" s="15"/>
      <c r="BX6" s="15"/>
      <c r="BY6" s="18"/>
      <c r="BZ6" s="15"/>
      <c r="CA6" s="15"/>
      <c r="CB6" s="15"/>
      <c r="CC6" s="15"/>
      <c r="CD6" s="15"/>
      <c r="CE6" s="15"/>
      <c r="CF6" s="15"/>
      <c r="CG6" s="15"/>
      <c r="CH6" s="16"/>
      <c r="CI6" s="33"/>
      <c r="CJ6" s="33"/>
    </row>
    <row r="7" spans="1:88" ht="11.25" customHeight="1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  <c r="S7" s="2">
        <v>19</v>
      </c>
      <c r="T7" s="2">
        <v>20</v>
      </c>
      <c r="U7" s="2">
        <v>21</v>
      </c>
      <c r="V7" s="2">
        <v>22</v>
      </c>
      <c r="W7" s="2">
        <v>23</v>
      </c>
      <c r="X7" s="2">
        <v>24</v>
      </c>
      <c r="Y7" s="2">
        <v>25</v>
      </c>
      <c r="Z7" s="2">
        <v>26</v>
      </c>
      <c r="AA7" s="2">
        <v>27</v>
      </c>
      <c r="AB7" s="2">
        <v>28</v>
      </c>
      <c r="AC7" s="2">
        <v>29</v>
      </c>
      <c r="AD7" s="2">
        <v>30</v>
      </c>
      <c r="AE7" s="2">
        <v>31</v>
      </c>
      <c r="AF7" s="2">
        <v>32</v>
      </c>
      <c r="AG7" s="2">
        <v>33</v>
      </c>
      <c r="AH7" s="2">
        <v>34</v>
      </c>
      <c r="AI7" s="2">
        <v>35</v>
      </c>
      <c r="AJ7" s="2">
        <v>36</v>
      </c>
      <c r="AK7" s="2">
        <v>37</v>
      </c>
      <c r="AL7" s="2">
        <v>38</v>
      </c>
      <c r="AM7" s="2">
        <v>39</v>
      </c>
      <c r="AN7" s="2">
        <v>40</v>
      </c>
      <c r="AO7" s="2">
        <v>41</v>
      </c>
      <c r="AP7" s="2">
        <v>42</v>
      </c>
      <c r="AQ7" s="2">
        <v>43</v>
      </c>
      <c r="AR7" s="2">
        <v>44</v>
      </c>
      <c r="AS7" s="2">
        <v>45</v>
      </c>
      <c r="AT7" s="2">
        <v>46</v>
      </c>
      <c r="AU7" s="2">
        <v>47</v>
      </c>
      <c r="AV7" s="2">
        <v>48</v>
      </c>
      <c r="AW7" s="2">
        <v>49</v>
      </c>
      <c r="AX7" s="2">
        <v>50</v>
      </c>
      <c r="AY7" s="2">
        <v>51</v>
      </c>
      <c r="AZ7" s="2">
        <v>52</v>
      </c>
      <c r="BA7" s="2">
        <v>53</v>
      </c>
      <c r="BB7" s="2">
        <v>54</v>
      </c>
      <c r="BC7" s="2">
        <v>55</v>
      </c>
      <c r="BD7" s="2">
        <v>56</v>
      </c>
      <c r="BE7" s="2">
        <v>57</v>
      </c>
      <c r="BF7" s="2">
        <v>58</v>
      </c>
      <c r="BG7" s="2">
        <v>59</v>
      </c>
      <c r="BH7" s="2">
        <v>60</v>
      </c>
      <c r="BI7" s="2">
        <v>61</v>
      </c>
      <c r="BJ7" s="2">
        <v>62</v>
      </c>
      <c r="BK7" s="2">
        <v>63</v>
      </c>
      <c r="BL7" s="2">
        <v>64</v>
      </c>
      <c r="BM7" s="2">
        <v>65</v>
      </c>
      <c r="BN7" s="2">
        <v>66</v>
      </c>
      <c r="BO7" s="2">
        <v>67</v>
      </c>
      <c r="BP7" s="2">
        <v>68</v>
      </c>
      <c r="BQ7" s="2">
        <v>69</v>
      </c>
      <c r="BR7" s="2">
        <v>70</v>
      </c>
      <c r="BS7" s="2">
        <v>71</v>
      </c>
      <c r="BT7" s="2">
        <v>72</v>
      </c>
      <c r="BU7" s="2">
        <v>73</v>
      </c>
      <c r="BV7" s="2">
        <v>74</v>
      </c>
      <c r="BW7" s="2">
        <v>75</v>
      </c>
      <c r="BX7" s="2">
        <v>76</v>
      </c>
      <c r="BY7" s="2">
        <v>77</v>
      </c>
      <c r="BZ7" s="2">
        <v>78</v>
      </c>
      <c r="CA7" s="2">
        <v>79</v>
      </c>
      <c r="CB7" s="2">
        <v>80</v>
      </c>
      <c r="CC7" s="2">
        <v>81</v>
      </c>
      <c r="CD7" s="2">
        <v>82</v>
      </c>
      <c r="CE7" s="2">
        <v>83</v>
      </c>
      <c r="CF7" s="2">
        <v>84</v>
      </c>
      <c r="CG7" s="2">
        <v>85</v>
      </c>
      <c r="CH7" s="2">
        <v>86</v>
      </c>
      <c r="CI7" s="2">
        <v>87</v>
      </c>
      <c r="CJ7" s="2">
        <v>88</v>
      </c>
    </row>
    <row r="8" spans="1:88" ht="12" customHeight="1">
      <c r="A8" s="22" t="str">
        <f>"24. Харовский р-н"</f>
        <v>24. Харовский р-н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</row>
    <row r="9" spans="1:88" ht="11.25" customHeight="1">
      <c r="A9" s="24" t="s">
        <v>37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</row>
    <row r="10" spans="1:88" ht="11.25" customHeight="1">
      <c r="A10" s="24" t="s">
        <v>24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</row>
    <row r="11" spans="1:88" ht="11.25" customHeight="1">
      <c r="A11" s="26" t="s">
        <v>38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</row>
    <row r="12" spans="1:88" ht="11.25" customHeight="1">
      <c r="A12" s="26" t="s">
        <v>36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</row>
    <row r="13" spans="1:88" ht="11.25" customHeight="1">
      <c r="A13" s="28" t="s">
        <v>35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</row>
    <row r="14" spans="1:88" ht="11.25" customHeight="1">
      <c r="A14" s="45" t="str">
        <f>"24.1"</f>
        <v>24.1</v>
      </c>
      <c r="B14" s="46" t="str">
        <f>"г. Харовск, пер. Больничный, д.1"</f>
        <v>г. Харовск, пер. Больничный, д.1</v>
      </c>
      <c r="C14" s="6" t="str">
        <f>"1991"</f>
        <v>1991</v>
      </c>
      <c r="D14" s="4" t="str">
        <f>"1991"</f>
        <v>1991</v>
      </c>
      <c r="E14" s="4" t="str">
        <f>"20,00"</f>
        <v>20,00</v>
      </c>
      <c r="F14" s="4" t="str">
        <f>"2034-2036"</f>
        <v>2034-2036</v>
      </c>
      <c r="G14" s="4" t="str">
        <f t="shared" ref="G14:G36" si="0">"нет"</f>
        <v>нет</v>
      </c>
      <c r="H14" s="4" t="str">
        <f>""</f>
        <v/>
      </c>
      <c r="I14" s="4" t="str">
        <f>""</f>
        <v/>
      </c>
      <c r="J14" s="4" t="str">
        <f>""</f>
        <v/>
      </c>
      <c r="K14" s="4" t="str">
        <f t="shared" ref="K14:K77" si="1">"нет"</f>
        <v>нет</v>
      </c>
      <c r="L14" s="4" t="str">
        <f>""</f>
        <v/>
      </c>
      <c r="M14" s="4" t="str">
        <f>""</f>
        <v/>
      </c>
      <c r="N14" s="4" t="str">
        <f>""</f>
        <v/>
      </c>
      <c r="O14" s="7" t="str">
        <f>"2011"</f>
        <v>2011</v>
      </c>
      <c r="P14" s="4" t="str">
        <f>"20,00"</f>
        <v>20,00</v>
      </c>
      <c r="Q14" s="4" t="str">
        <f>"2034-2036"</f>
        <v>2034-2036</v>
      </c>
      <c r="R14" s="4" t="str">
        <f>"да"</f>
        <v>да</v>
      </c>
      <c r="S14" s="4" t="str">
        <f>"2011"</f>
        <v>2011</v>
      </c>
      <c r="T14" s="4" t="str">
        <f>"50,00"</f>
        <v>50,00</v>
      </c>
      <c r="U14" s="4" t="str">
        <f>"2034-2036"</f>
        <v>2034-2036</v>
      </c>
      <c r="V14" s="4" t="str">
        <f>"нет"</f>
        <v>нет</v>
      </c>
      <c r="W14" s="4" t="str">
        <f>""</f>
        <v/>
      </c>
      <c r="X14" s="4" t="str">
        <f>""</f>
        <v/>
      </c>
      <c r="Y14" s="8" t="str">
        <f>""</f>
        <v/>
      </c>
      <c r="Z14" s="4" t="str">
        <f t="shared" ref="Z14:AJ23" si="2">"х"</f>
        <v>х</v>
      </c>
      <c r="AA14" s="4" t="str">
        <f t="shared" si="2"/>
        <v>х</v>
      </c>
      <c r="AB14" s="4" t="str">
        <f t="shared" si="2"/>
        <v>х</v>
      </c>
      <c r="AC14" s="4" t="str">
        <f t="shared" si="2"/>
        <v>х</v>
      </c>
      <c r="AD14" s="4" t="str">
        <f t="shared" si="2"/>
        <v>х</v>
      </c>
      <c r="AE14" s="4" t="str">
        <f t="shared" si="2"/>
        <v>х</v>
      </c>
      <c r="AF14" s="4" t="str">
        <f t="shared" si="2"/>
        <v>х</v>
      </c>
      <c r="AG14" s="4" t="str">
        <f t="shared" si="2"/>
        <v>х</v>
      </c>
      <c r="AH14" s="4" t="str">
        <f t="shared" si="2"/>
        <v>х</v>
      </c>
      <c r="AI14" s="4" t="str">
        <f t="shared" si="2"/>
        <v>х</v>
      </c>
      <c r="AJ14" s="4" t="str">
        <f t="shared" si="2"/>
        <v>х</v>
      </c>
      <c r="AK14" s="7" t="str">
        <f>"1991"</f>
        <v>1991</v>
      </c>
      <c r="AL14" s="4" t="str">
        <f>"20,00"</f>
        <v>20,00</v>
      </c>
      <c r="AM14" s="4" t="str">
        <f>"2034-2036"</f>
        <v>2034-2036</v>
      </c>
      <c r="AN14" s="4" t="str">
        <f>"да"</f>
        <v>да</v>
      </c>
      <c r="AO14" s="4" t="str">
        <f>"2013"</f>
        <v>2013</v>
      </c>
      <c r="AP14" s="4" t="str">
        <f>"1,00"</f>
        <v>1,00</v>
      </c>
      <c r="AQ14" s="4" t="str">
        <f>"2034-2036"</f>
        <v>2034-2036</v>
      </c>
      <c r="AR14" s="4" t="str">
        <f>"нет"</f>
        <v>нет</v>
      </c>
      <c r="AS14" s="4" t="str">
        <f>""</f>
        <v/>
      </c>
      <c r="AT14" s="4" t="str">
        <f>""</f>
        <v/>
      </c>
      <c r="AU14" s="4" t="str">
        <f>""</f>
        <v/>
      </c>
      <c r="AV14" s="4" t="str">
        <f>"1991"</f>
        <v>1991</v>
      </c>
      <c r="AW14" s="4" t="str">
        <f>"20,00"</f>
        <v>20,00</v>
      </c>
      <c r="AX14" s="4" t="str">
        <f>"2034-2036"</f>
        <v>2034-2036</v>
      </c>
      <c r="AY14" s="4" t="str">
        <f>"нет"</f>
        <v>нет</v>
      </c>
      <c r="AZ14" s="4" t="str">
        <f t="shared" ref="AZ14:BB29" si="3">"х"</f>
        <v>х</v>
      </c>
      <c r="BA14" s="4" t="str">
        <f t="shared" si="3"/>
        <v>х</v>
      </c>
      <c r="BB14" s="4" t="str">
        <f t="shared" si="3"/>
        <v>х</v>
      </c>
      <c r="BC14" s="4" t="str">
        <f>"нет"</f>
        <v>нет</v>
      </c>
      <c r="BD14" s="4" t="str">
        <f t="shared" ref="BD14:BF29" si="4">"х"</f>
        <v>х</v>
      </c>
      <c r="BE14" s="4" t="str">
        <f t="shared" si="4"/>
        <v>х</v>
      </c>
      <c r="BF14" s="4" t="str">
        <f t="shared" si="4"/>
        <v>х</v>
      </c>
      <c r="BG14" s="4" t="str">
        <f>"1991"</f>
        <v>1991</v>
      </c>
      <c r="BH14" s="4" t="str">
        <f>"20,00"</f>
        <v>20,00</v>
      </c>
      <c r="BI14" s="4" t="str">
        <f>"2034-2036"</f>
        <v>2034-2036</v>
      </c>
      <c r="BJ14" s="4" t="str">
        <f>"нет"</f>
        <v>нет</v>
      </c>
      <c r="BK14" s="4" t="str">
        <f>""</f>
        <v/>
      </c>
      <c r="BL14" s="4" t="str">
        <f>""</f>
        <v/>
      </c>
      <c r="BM14" s="4" t="str">
        <f>""</f>
        <v/>
      </c>
      <c r="BN14" s="4" t="str">
        <f>"нет"</f>
        <v>нет</v>
      </c>
      <c r="BO14" s="4" t="str">
        <f>""</f>
        <v/>
      </c>
      <c r="BP14" s="4" t="str">
        <f>""</f>
        <v/>
      </c>
      <c r="BQ14" s="4" t="str">
        <f>""</f>
        <v/>
      </c>
      <c r="BR14" s="4" t="str">
        <f>"1991"</f>
        <v>1991</v>
      </c>
      <c r="BS14" s="4" t="str">
        <f>"30,00"</f>
        <v>30,00</v>
      </c>
      <c r="BT14" s="4" t="str">
        <f>"2034-2036"</f>
        <v>2034-2036</v>
      </c>
      <c r="BU14" s="4" t="str">
        <f t="shared" ref="BU14:BU77" si="5">"нет"</f>
        <v>нет</v>
      </c>
      <c r="BV14" s="4" t="str">
        <f t="shared" ref="BV14:BX33" si="6">"x"</f>
        <v>x</v>
      </c>
      <c r="BW14" s="4" t="str">
        <f t="shared" si="6"/>
        <v>x</v>
      </c>
      <c r="BX14" s="4" t="str">
        <f t="shared" si="6"/>
        <v>x</v>
      </c>
      <c r="BY14" s="4" t="str">
        <f t="shared" ref="BY14:BY45" si="7">"нет"</f>
        <v>нет</v>
      </c>
      <c r="BZ14" s="4" t="str">
        <f t="shared" ref="BZ14:CB33" si="8">"x"</f>
        <v>x</v>
      </c>
      <c r="CA14" s="4" t="str">
        <f t="shared" si="8"/>
        <v>x</v>
      </c>
      <c r="CB14" s="4" t="str">
        <f t="shared" si="8"/>
        <v>x</v>
      </c>
      <c r="CC14" s="4" t="str">
        <f>"1991"</f>
        <v>1991</v>
      </c>
      <c r="CD14" s="4" t="str">
        <f>"10,00"</f>
        <v>10,00</v>
      </c>
      <c r="CE14" s="4" t="str">
        <f>"2034-2036"</f>
        <v>2034-2036</v>
      </c>
      <c r="CF14" s="4" t="str">
        <f>"1991"</f>
        <v>1991</v>
      </c>
      <c r="CG14" s="4" t="str">
        <f>"5,00"</f>
        <v>5,00</v>
      </c>
      <c r="CH14" s="4" t="str">
        <f>"2034-2036"</f>
        <v>2034-2036</v>
      </c>
      <c r="CI14" s="4" t="str">
        <f>"15,00"</f>
        <v>15,00</v>
      </c>
      <c r="CJ14" s="4" t="str">
        <f>"2034-2036"</f>
        <v>2034-2036</v>
      </c>
    </row>
    <row r="15" spans="1:88" ht="11.25" customHeight="1">
      <c r="A15" s="45" t="str">
        <f>"24.2"</f>
        <v>24.2</v>
      </c>
      <c r="B15" s="46" t="str">
        <f>"г. Харовск, пер. Больничный, д.11"</f>
        <v>г. Харовск, пер. Больничный, д.11</v>
      </c>
      <c r="C15" s="6" t="str">
        <f>"1966"</f>
        <v>1966</v>
      </c>
      <c r="D15" s="4" t="str">
        <f>"1966"</f>
        <v>1966</v>
      </c>
      <c r="E15" s="4" t="str">
        <f>"60,00"</f>
        <v>60,00</v>
      </c>
      <c r="F15" s="4" t="str">
        <f>"2022-2024"</f>
        <v>2022-2024</v>
      </c>
      <c r="G15" s="4" t="str">
        <f t="shared" si="0"/>
        <v>нет</v>
      </c>
      <c r="H15" s="4" t="str">
        <f>""</f>
        <v/>
      </c>
      <c r="I15" s="4" t="str">
        <f>""</f>
        <v/>
      </c>
      <c r="J15" s="4" t="str">
        <f>""</f>
        <v/>
      </c>
      <c r="K15" s="4" t="str">
        <f t="shared" si="1"/>
        <v>нет</v>
      </c>
      <c r="L15" s="4" t="str">
        <f>""</f>
        <v/>
      </c>
      <c r="M15" s="4" t="str">
        <f>""</f>
        <v/>
      </c>
      <c r="N15" s="4" t="str">
        <f>""</f>
        <v/>
      </c>
      <c r="O15" s="7" t="str">
        <f t="shared" ref="O15:Y16" si="9">"х"</f>
        <v>х</v>
      </c>
      <c r="P15" s="4" t="str">
        <f t="shared" si="9"/>
        <v>х</v>
      </c>
      <c r="Q15" s="4" t="str">
        <f t="shared" si="9"/>
        <v>х</v>
      </c>
      <c r="R15" s="4" t="str">
        <f t="shared" si="9"/>
        <v>х</v>
      </c>
      <c r="S15" s="4" t="str">
        <f t="shared" si="9"/>
        <v>х</v>
      </c>
      <c r="T15" s="4" t="str">
        <f t="shared" si="9"/>
        <v>х</v>
      </c>
      <c r="U15" s="4" t="str">
        <f t="shared" si="9"/>
        <v>х</v>
      </c>
      <c r="V15" s="4" t="str">
        <f t="shared" si="9"/>
        <v>х</v>
      </c>
      <c r="W15" s="4" t="str">
        <f t="shared" si="9"/>
        <v>х</v>
      </c>
      <c r="X15" s="4" t="str">
        <f t="shared" si="9"/>
        <v>х</v>
      </c>
      <c r="Y15" s="8" t="str">
        <f t="shared" si="9"/>
        <v>х</v>
      </c>
      <c r="Z15" s="4" t="str">
        <f t="shared" si="2"/>
        <v>х</v>
      </c>
      <c r="AA15" s="4" t="str">
        <f t="shared" si="2"/>
        <v>х</v>
      </c>
      <c r="AB15" s="4" t="str">
        <f t="shared" si="2"/>
        <v>х</v>
      </c>
      <c r="AC15" s="4" t="str">
        <f t="shared" si="2"/>
        <v>х</v>
      </c>
      <c r="AD15" s="4" t="str">
        <f t="shared" si="2"/>
        <v>х</v>
      </c>
      <c r="AE15" s="4" t="str">
        <f t="shared" si="2"/>
        <v>х</v>
      </c>
      <c r="AF15" s="4" t="str">
        <f t="shared" si="2"/>
        <v>х</v>
      </c>
      <c r="AG15" s="4" t="str">
        <f t="shared" si="2"/>
        <v>х</v>
      </c>
      <c r="AH15" s="4" t="str">
        <f t="shared" si="2"/>
        <v>х</v>
      </c>
      <c r="AI15" s="4" t="str">
        <f t="shared" si="2"/>
        <v>х</v>
      </c>
      <c r="AJ15" s="4" t="str">
        <f t="shared" si="2"/>
        <v>х</v>
      </c>
      <c r="AK15" s="7" t="str">
        <f>"х"</f>
        <v>х</v>
      </c>
      <c r="AL15" s="4" t="str">
        <f>"х"</f>
        <v>х</v>
      </c>
      <c r="AM15" s="4" t="str">
        <f>"2022-2024"</f>
        <v>2022-2024</v>
      </c>
      <c r="AN15" s="4" t="str">
        <f t="shared" ref="AN15:AY15" si="10">"х"</f>
        <v>х</v>
      </c>
      <c r="AO15" s="4" t="str">
        <f t="shared" si="10"/>
        <v>х</v>
      </c>
      <c r="AP15" s="4" t="str">
        <f t="shared" si="10"/>
        <v>х</v>
      </c>
      <c r="AQ15" s="4" t="str">
        <f t="shared" si="10"/>
        <v>х</v>
      </c>
      <c r="AR15" s="4" t="str">
        <f t="shared" si="10"/>
        <v>х</v>
      </c>
      <c r="AS15" s="4" t="str">
        <f t="shared" si="10"/>
        <v>х</v>
      </c>
      <c r="AT15" s="4" t="str">
        <f t="shared" si="10"/>
        <v>х</v>
      </c>
      <c r="AU15" s="4" t="str">
        <f t="shared" si="10"/>
        <v>х</v>
      </c>
      <c r="AV15" s="4" t="str">
        <f t="shared" si="10"/>
        <v>х</v>
      </c>
      <c r="AW15" s="4" t="str">
        <f t="shared" si="10"/>
        <v>х</v>
      </c>
      <c r="AX15" s="4" t="str">
        <f t="shared" si="10"/>
        <v>х</v>
      </c>
      <c r="AY15" s="4" t="str">
        <f t="shared" si="10"/>
        <v>х</v>
      </c>
      <c r="AZ15" s="4" t="str">
        <f t="shared" si="3"/>
        <v>х</v>
      </c>
      <c r="BA15" s="4" t="str">
        <f t="shared" si="3"/>
        <v>х</v>
      </c>
      <c r="BB15" s="4" t="str">
        <f t="shared" si="3"/>
        <v>х</v>
      </c>
      <c r="BC15" s="4" t="str">
        <f t="shared" ref="BC15:BC29" si="11">"х"</f>
        <v>х</v>
      </c>
      <c r="BD15" s="4" t="str">
        <f t="shared" si="4"/>
        <v>х</v>
      </c>
      <c r="BE15" s="4" t="str">
        <f t="shared" si="4"/>
        <v>х</v>
      </c>
      <c r="BF15" s="4" t="str">
        <f t="shared" si="4"/>
        <v>х</v>
      </c>
      <c r="BG15" s="4" t="str">
        <f t="shared" ref="BG15:BQ16" si="12">"х"</f>
        <v>х</v>
      </c>
      <c r="BH15" s="4" t="str">
        <f t="shared" si="12"/>
        <v>х</v>
      </c>
      <c r="BI15" s="4" t="str">
        <f t="shared" si="12"/>
        <v>х</v>
      </c>
      <c r="BJ15" s="4" t="str">
        <f t="shared" si="12"/>
        <v>х</v>
      </c>
      <c r="BK15" s="4" t="str">
        <f t="shared" si="12"/>
        <v>х</v>
      </c>
      <c r="BL15" s="4" t="str">
        <f t="shared" si="12"/>
        <v>х</v>
      </c>
      <c r="BM15" s="4" t="str">
        <f t="shared" si="12"/>
        <v>х</v>
      </c>
      <c r="BN15" s="4" t="str">
        <f t="shared" si="12"/>
        <v>х</v>
      </c>
      <c r="BO15" s="4" t="str">
        <f t="shared" si="12"/>
        <v>х</v>
      </c>
      <c r="BP15" s="4" t="str">
        <f t="shared" si="12"/>
        <v>х</v>
      </c>
      <c r="BQ15" s="4" t="str">
        <f t="shared" si="12"/>
        <v>х</v>
      </c>
      <c r="BR15" s="4" t="str">
        <f>"1966"</f>
        <v>1966</v>
      </c>
      <c r="BS15" s="4" t="str">
        <f>"55,00"</f>
        <v>55,00</v>
      </c>
      <c r="BT15" s="4" t="str">
        <f>"2022-2024"</f>
        <v>2022-2024</v>
      </c>
      <c r="BU15" s="4" t="str">
        <f t="shared" si="5"/>
        <v>нет</v>
      </c>
      <c r="BV15" s="4" t="str">
        <f t="shared" si="6"/>
        <v>x</v>
      </c>
      <c r="BW15" s="4" t="str">
        <f t="shared" si="6"/>
        <v>x</v>
      </c>
      <c r="BX15" s="4" t="str">
        <f t="shared" si="6"/>
        <v>x</v>
      </c>
      <c r="BY15" s="4" t="str">
        <f t="shared" si="7"/>
        <v>нет</v>
      </c>
      <c r="BZ15" s="4" t="str">
        <f t="shared" si="8"/>
        <v>x</v>
      </c>
      <c r="CA15" s="4" t="str">
        <f t="shared" si="8"/>
        <v>x</v>
      </c>
      <c r="CB15" s="4" t="str">
        <f t="shared" si="8"/>
        <v>x</v>
      </c>
      <c r="CC15" s="4" t="str">
        <f>"1966"</f>
        <v>1966</v>
      </c>
      <c r="CD15" s="4" t="str">
        <f>"65,00"</f>
        <v>65,00</v>
      </c>
      <c r="CE15" s="4" t="str">
        <f>"2022-2024"</f>
        <v>2022-2024</v>
      </c>
      <c r="CF15" s="4" t="str">
        <f>"1966"</f>
        <v>1966</v>
      </c>
      <c r="CG15" s="4" t="str">
        <f>"45,00"</f>
        <v>45,00</v>
      </c>
      <c r="CH15" s="4" t="str">
        <f>"2022-2024"</f>
        <v>2022-2024</v>
      </c>
      <c r="CI15" s="4" t="str">
        <f>"57,00"</f>
        <v>57,00</v>
      </c>
      <c r="CJ15" s="4" t="str">
        <f>"2022-2024"</f>
        <v>2022-2024</v>
      </c>
    </row>
    <row r="16" spans="1:88" ht="11.25" customHeight="1">
      <c r="A16" s="45" t="str">
        <f>"24.3"</f>
        <v>24.3</v>
      </c>
      <c r="B16" s="46" t="str">
        <f>"г. Харовск, пер. Больничный, д.13"</f>
        <v>г. Харовск, пер. Больничный, д.13</v>
      </c>
      <c r="C16" s="6" t="str">
        <f>"1967"</f>
        <v>1967</v>
      </c>
      <c r="D16" s="4" t="str">
        <f>"1967"</f>
        <v>1967</v>
      </c>
      <c r="E16" s="4" t="str">
        <f>"60,00"</f>
        <v>60,00</v>
      </c>
      <c r="F16" s="4" t="str">
        <f>"2023-2025"</f>
        <v>2023-2025</v>
      </c>
      <c r="G16" s="4" t="str">
        <f t="shared" si="0"/>
        <v>нет</v>
      </c>
      <c r="H16" s="4" t="str">
        <f>""</f>
        <v/>
      </c>
      <c r="I16" s="4" t="str">
        <f>""</f>
        <v/>
      </c>
      <c r="J16" s="4" t="str">
        <f>""</f>
        <v/>
      </c>
      <c r="K16" s="4" t="str">
        <f t="shared" si="1"/>
        <v>нет</v>
      </c>
      <c r="L16" s="4" t="str">
        <f>""</f>
        <v/>
      </c>
      <c r="M16" s="4" t="str">
        <f>""</f>
        <v/>
      </c>
      <c r="N16" s="4" t="str">
        <f>""</f>
        <v/>
      </c>
      <c r="O16" s="7" t="str">
        <f t="shared" si="9"/>
        <v>х</v>
      </c>
      <c r="P16" s="4" t="str">
        <f t="shared" si="9"/>
        <v>х</v>
      </c>
      <c r="Q16" s="4" t="str">
        <f t="shared" si="9"/>
        <v>х</v>
      </c>
      <c r="R16" s="4" t="str">
        <f t="shared" si="9"/>
        <v>х</v>
      </c>
      <c r="S16" s="4" t="str">
        <f t="shared" si="9"/>
        <v>х</v>
      </c>
      <c r="T16" s="4" t="str">
        <f t="shared" si="9"/>
        <v>х</v>
      </c>
      <c r="U16" s="4" t="str">
        <f t="shared" si="9"/>
        <v>х</v>
      </c>
      <c r="V16" s="4" t="str">
        <f t="shared" si="9"/>
        <v>х</v>
      </c>
      <c r="W16" s="4" t="str">
        <f t="shared" si="9"/>
        <v>х</v>
      </c>
      <c r="X16" s="4" t="str">
        <f t="shared" si="9"/>
        <v>х</v>
      </c>
      <c r="Y16" s="8" t="str">
        <f t="shared" si="9"/>
        <v>х</v>
      </c>
      <c r="Z16" s="4" t="str">
        <f t="shared" si="2"/>
        <v>х</v>
      </c>
      <c r="AA16" s="4" t="str">
        <f t="shared" si="2"/>
        <v>х</v>
      </c>
      <c r="AB16" s="4" t="str">
        <f t="shared" si="2"/>
        <v>х</v>
      </c>
      <c r="AC16" s="4" t="str">
        <f t="shared" si="2"/>
        <v>х</v>
      </c>
      <c r="AD16" s="4" t="str">
        <f t="shared" si="2"/>
        <v>х</v>
      </c>
      <c r="AE16" s="4" t="str">
        <f t="shared" si="2"/>
        <v>х</v>
      </c>
      <c r="AF16" s="4" t="str">
        <f t="shared" si="2"/>
        <v>х</v>
      </c>
      <c r="AG16" s="4" t="str">
        <f t="shared" si="2"/>
        <v>х</v>
      </c>
      <c r="AH16" s="4" t="str">
        <f t="shared" si="2"/>
        <v>х</v>
      </c>
      <c r="AI16" s="4" t="str">
        <f t="shared" si="2"/>
        <v>х</v>
      </c>
      <c r="AJ16" s="4" t="str">
        <f t="shared" si="2"/>
        <v>х</v>
      </c>
      <c r="AK16" s="7" t="str">
        <f>"1967"</f>
        <v>1967</v>
      </c>
      <c r="AL16" s="4" t="str">
        <f>"60,00"</f>
        <v>60,00</v>
      </c>
      <c r="AM16" s="4" t="str">
        <f>"2023-2025"</f>
        <v>2023-2025</v>
      </c>
      <c r="AN16" s="4" t="str">
        <f>"нет"</f>
        <v>нет</v>
      </c>
      <c r="AO16" s="4" t="str">
        <f>""</f>
        <v/>
      </c>
      <c r="AP16" s="4" t="str">
        <f>""</f>
        <v/>
      </c>
      <c r="AQ16" s="4" t="str">
        <f>""</f>
        <v/>
      </c>
      <c r="AR16" s="4" t="str">
        <f>"нет"</f>
        <v>нет</v>
      </c>
      <c r="AS16" s="4" t="str">
        <f>""</f>
        <v/>
      </c>
      <c r="AT16" s="4" t="str">
        <f>""</f>
        <v/>
      </c>
      <c r="AU16" s="4" t="str">
        <f>""</f>
        <v/>
      </c>
      <c r="AV16" s="4" t="str">
        <f t="shared" ref="AV16:AY29" si="13">"х"</f>
        <v>х</v>
      </c>
      <c r="AW16" s="4" t="str">
        <f t="shared" si="13"/>
        <v>х</v>
      </c>
      <c r="AX16" s="4" t="str">
        <f t="shared" si="13"/>
        <v>х</v>
      </c>
      <c r="AY16" s="4" t="str">
        <f t="shared" si="13"/>
        <v>х</v>
      </c>
      <c r="AZ16" s="4" t="str">
        <f t="shared" si="3"/>
        <v>х</v>
      </c>
      <c r="BA16" s="4" t="str">
        <f t="shared" si="3"/>
        <v>х</v>
      </c>
      <c r="BB16" s="4" t="str">
        <f t="shared" si="3"/>
        <v>х</v>
      </c>
      <c r="BC16" s="4" t="str">
        <f t="shared" si="11"/>
        <v>х</v>
      </c>
      <c r="BD16" s="4" t="str">
        <f t="shared" si="4"/>
        <v>х</v>
      </c>
      <c r="BE16" s="4" t="str">
        <f t="shared" si="4"/>
        <v>х</v>
      </c>
      <c r="BF16" s="4" t="str">
        <f t="shared" si="4"/>
        <v>х</v>
      </c>
      <c r="BG16" s="4" t="str">
        <f t="shared" si="12"/>
        <v>х</v>
      </c>
      <c r="BH16" s="4" t="str">
        <f t="shared" si="12"/>
        <v>х</v>
      </c>
      <c r="BI16" s="4" t="str">
        <f t="shared" si="12"/>
        <v>х</v>
      </c>
      <c r="BJ16" s="4" t="str">
        <f t="shared" si="12"/>
        <v>х</v>
      </c>
      <c r="BK16" s="4" t="str">
        <f t="shared" si="12"/>
        <v>х</v>
      </c>
      <c r="BL16" s="4" t="str">
        <f t="shared" si="12"/>
        <v>х</v>
      </c>
      <c r="BM16" s="4" t="str">
        <f t="shared" si="12"/>
        <v>х</v>
      </c>
      <c r="BN16" s="4" t="str">
        <f t="shared" si="12"/>
        <v>х</v>
      </c>
      <c r="BO16" s="4" t="str">
        <f t="shared" si="12"/>
        <v>х</v>
      </c>
      <c r="BP16" s="4" t="str">
        <f t="shared" si="12"/>
        <v>х</v>
      </c>
      <c r="BQ16" s="4" t="str">
        <f t="shared" si="12"/>
        <v>х</v>
      </c>
      <c r="BR16" s="4" t="str">
        <f>"1967"</f>
        <v>1967</v>
      </c>
      <c r="BS16" s="4" t="str">
        <f>"60,00"</f>
        <v>60,00</v>
      </c>
      <c r="BT16" s="4" t="str">
        <f>"2023-2025"</f>
        <v>2023-2025</v>
      </c>
      <c r="BU16" s="4" t="str">
        <f t="shared" si="5"/>
        <v>нет</v>
      </c>
      <c r="BV16" s="4" t="str">
        <f t="shared" si="6"/>
        <v>x</v>
      </c>
      <c r="BW16" s="4" t="str">
        <f t="shared" si="6"/>
        <v>x</v>
      </c>
      <c r="BX16" s="4" t="str">
        <f t="shared" si="6"/>
        <v>x</v>
      </c>
      <c r="BY16" s="4" t="str">
        <f t="shared" si="7"/>
        <v>нет</v>
      </c>
      <c r="BZ16" s="4" t="str">
        <f t="shared" si="8"/>
        <v>x</v>
      </c>
      <c r="CA16" s="4" t="str">
        <f t="shared" si="8"/>
        <v>x</v>
      </c>
      <c r="CB16" s="4" t="str">
        <f t="shared" si="8"/>
        <v>x</v>
      </c>
      <c r="CC16" s="4" t="str">
        <f>"1967"</f>
        <v>1967</v>
      </c>
      <c r="CD16" s="4" t="str">
        <f>"45,00"</f>
        <v>45,00</v>
      </c>
      <c r="CE16" s="4" t="str">
        <f>"2023-2025"</f>
        <v>2023-2025</v>
      </c>
      <c r="CF16" s="4" t="str">
        <f>"1967"</f>
        <v>1967</v>
      </c>
      <c r="CG16" s="4" t="str">
        <f>"60,00"</f>
        <v>60,00</v>
      </c>
      <c r="CH16" s="4" t="str">
        <f>"2023-2025"</f>
        <v>2023-2025</v>
      </c>
      <c r="CI16" s="4" t="str">
        <f>"59,00"</f>
        <v>59,00</v>
      </c>
      <c r="CJ16" s="4" t="str">
        <f>"2023-2025"</f>
        <v>2023-2025</v>
      </c>
    </row>
    <row r="17" spans="1:88" ht="11.25" customHeight="1">
      <c r="A17" s="45" t="str">
        <f>"24.4"</f>
        <v>24.4</v>
      </c>
      <c r="B17" s="46" t="str">
        <f>"г. Харовск, пер. Больничный, д.2"</f>
        <v>г. Харовск, пер. Больничный, д.2</v>
      </c>
      <c r="C17" s="6" t="str">
        <f>"1970"</f>
        <v>1970</v>
      </c>
      <c r="D17" s="4" t="str">
        <f>"1970"</f>
        <v>1970</v>
      </c>
      <c r="E17" s="4" t="str">
        <f>"45,00"</f>
        <v>45,00</v>
      </c>
      <c r="F17" s="4" t="str">
        <f>"2024-2026"</f>
        <v>2024-2026</v>
      </c>
      <c r="G17" s="4" t="str">
        <f t="shared" si="0"/>
        <v>нет</v>
      </c>
      <c r="H17" s="4" t="str">
        <f>""</f>
        <v/>
      </c>
      <c r="I17" s="4" t="str">
        <f>""</f>
        <v/>
      </c>
      <c r="J17" s="4" t="str">
        <f>""</f>
        <v/>
      </c>
      <c r="K17" s="4" t="str">
        <f t="shared" si="1"/>
        <v>нет</v>
      </c>
      <c r="L17" s="4" t="str">
        <f>""</f>
        <v/>
      </c>
      <c r="M17" s="4" t="str">
        <f>""</f>
        <v/>
      </c>
      <c r="N17" s="4" t="str">
        <f>""</f>
        <v/>
      </c>
      <c r="O17" s="7" t="str">
        <f t="shared" ref="O17:P22" si="14">"х"</f>
        <v>х</v>
      </c>
      <c r="P17" s="4" t="str">
        <f t="shared" si="14"/>
        <v>х</v>
      </c>
      <c r="Q17" s="4" t="str">
        <f>"2042-2044"</f>
        <v>2042-2044</v>
      </c>
      <c r="R17" s="4" t="str">
        <f t="shared" ref="R17:Y26" si="15">"х"</f>
        <v>х</v>
      </c>
      <c r="S17" s="4" t="str">
        <f t="shared" si="15"/>
        <v>х</v>
      </c>
      <c r="T17" s="4" t="str">
        <f t="shared" si="15"/>
        <v>х</v>
      </c>
      <c r="U17" s="4" t="str">
        <f t="shared" si="15"/>
        <v>х</v>
      </c>
      <c r="V17" s="4" t="str">
        <f t="shared" si="15"/>
        <v>х</v>
      </c>
      <c r="W17" s="4" t="str">
        <f t="shared" si="15"/>
        <v>х</v>
      </c>
      <c r="X17" s="4" t="str">
        <f t="shared" si="15"/>
        <v>х</v>
      </c>
      <c r="Y17" s="8" t="str">
        <f t="shared" si="15"/>
        <v>х</v>
      </c>
      <c r="Z17" s="4" t="str">
        <f t="shared" si="2"/>
        <v>х</v>
      </c>
      <c r="AA17" s="4" t="str">
        <f t="shared" si="2"/>
        <v>х</v>
      </c>
      <c r="AB17" s="4" t="str">
        <f t="shared" si="2"/>
        <v>х</v>
      </c>
      <c r="AC17" s="4" t="str">
        <f t="shared" si="2"/>
        <v>х</v>
      </c>
      <c r="AD17" s="4" t="str">
        <f t="shared" si="2"/>
        <v>х</v>
      </c>
      <c r="AE17" s="4" t="str">
        <f t="shared" si="2"/>
        <v>х</v>
      </c>
      <c r="AF17" s="4" t="str">
        <f t="shared" si="2"/>
        <v>х</v>
      </c>
      <c r="AG17" s="4" t="str">
        <f t="shared" si="2"/>
        <v>х</v>
      </c>
      <c r="AH17" s="4" t="str">
        <f t="shared" si="2"/>
        <v>х</v>
      </c>
      <c r="AI17" s="4" t="str">
        <f t="shared" si="2"/>
        <v>х</v>
      </c>
      <c r="AJ17" s="4" t="str">
        <f t="shared" si="2"/>
        <v>х</v>
      </c>
      <c r="AK17" s="7" t="str">
        <f>"х"</f>
        <v>х</v>
      </c>
      <c r="AL17" s="4" t="str">
        <f>"х"</f>
        <v>х</v>
      </c>
      <c r="AM17" s="4" t="str">
        <f>"2024-2026"</f>
        <v>2024-2026</v>
      </c>
      <c r="AN17" s="4" t="str">
        <f t="shared" ref="AN17:AU17" si="16">"х"</f>
        <v>х</v>
      </c>
      <c r="AO17" s="4" t="str">
        <f t="shared" si="16"/>
        <v>х</v>
      </c>
      <c r="AP17" s="4" t="str">
        <f t="shared" si="16"/>
        <v>х</v>
      </c>
      <c r="AQ17" s="4" t="str">
        <f t="shared" si="16"/>
        <v>х</v>
      </c>
      <c r="AR17" s="4" t="str">
        <f t="shared" si="16"/>
        <v>х</v>
      </c>
      <c r="AS17" s="4" t="str">
        <f t="shared" si="16"/>
        <v>х</v>
      </c>
      <c r="AT17" s="4" t="str">
        <f t="shared" si="16"/>
        <v>х</v>
      </c>
      <c r="AU17" s="4" t="str">
        <f t="shared" si="16"/>
        <v>х</v>
      </c>
      <c r="AV17" s="4" t="str">
        <f t="shared" si="13"/>
        <v>х</v>
      </c>
      <c r="AW17" s="4" t="str">
        <f t="shared" si="13"/>
        <v>х</v>
      </c>
      <c r="AX17" s="4" t="str">
        <f t="shared" si="13"/>
        <v>х</v>
      </c>
      <c r="AY17" s="4" t="str">
        <f t="shared" si="13"/>
        <v>х</v>
      </c>
      <c r="AZ17" s="4" t="str">
        <f t="shared" si="3"/>
        <v>х</v>
      </c>
      <c r="BA17" s="4" t="str">
        <f t="shared" si="3"/>
        <v>х</v>
      </c>
      <c r="BB17" s="4" t="str">
        <f t="shared" si="3"/>
        <v>х</v>
      </c>
      <c r="BC17" s="4" t="str">
        <f t="shared" si="11"/>
        <v>х</v>
      </c>
      <c r="BD17" s="4" t="str">
        <f t="shared" si="4"/>
        <v>х</v>
      </c>
      <c r="BE17" s="4" t="str">
        <f t="shared" si="4"/>
        <v>х</v>
      </c>
      <c r="BF17" s="4" t="str">
        <f t="shared" si="4"/>
        <v>х</v>
      </c>
      <c r="BG17" s="4" t="str">
        <f t="shared" ref="BG17:BH26" si="17">"х"</f>
        <v>х</v>
      </c>
      <c r="BH17" s="4" t="str">
        <f t="shared" si="17"/>
        <v>х</v>
      </c>
      <c r="BI17" s="4" t="str">
        <f>"2024-2026"</f>
        <v>2024-2026</v>
      </c>
      <c r="BJ17" s="4" t="str">
        <f t="shared" ref="BJ17:BQ26" si="18">"х"</f>
        <v>х</v>
      </c>
      <c r="BK17" s="4" t="str">
        <f t="shared" si="18"/>
        <v>х</v>
      </c>
      <c r="BL17" s="4" t="str">
        <f t="shared" si="18"/>
        <v>х</v>
      </c>
      <c r="BM17" s="4" t="str">
        <f t="shared" si="18"/>
        <v>х</v>
      </c>
      <c r="BN17" s="4" t="str">
        <f t="shared" si="18"/>
        <v>х</v>
      </c>
      <c r="BO17" s="4" t="str">
        <f t="shared" si="18"/>
        <v>х</v>
      </c>
      <c r="BP17" s="4" t="str">
        <f t="shared" si="18"/>
        <v>х</v>
      </c>
      <c r="BQ17" s="4" t="str">
        <f t="shared" si="18"/>
        <v>х</v>
      </c>
      <c r="BR17" s="4" t="str">
        <f>"1970"</f>
        <v>1970</v>
      </c>
      <c r="BS17" s="4" t="str">
        <f>"50,00"</f>
        <v>50,00</v>
      </c>
      <c r="BT17" s="4" t="str">
        <f>"2024-2026"</f>
        <v>2024-2026</v>
      </c>
      <c r="BU17" s="4" t="str">
        <f t="shared" si="5"/>
        <v>нет</v>
      </c>
      <c r="BV17" s="4" t="str">
        <f t="shared" si="6"/>
        <v>x</v>
      </c>
      <c r="BW17" s="4" t="str">
        <f t="shared" si="6"/>
        <v>x</v>
      </c>
      <c r="BX17" s="4" t="str">
        <f t="shared" si="6"/>
        <v>x</v>
      </c>
      <c r="BY17" s="4" t="str">
        <f t="shared" si="7"/>
        <v>нет</v>
      </c>
      <c r="BZ17" s="4" t="str">
        <f t="shared" si="8"/>
        <v>x</v>
      </c>
      <c r="CA17" s="4" t="str">
        <f t="shared" si="8"/>
        <v>x</v>
      </c>
      <c r="CB17" s="4" t="str">
        <f t="shared" si="8"/>
        <v>x</v>
      </c>
      <c r="CC17" s="4" t="str">
        <f>"1970"</f>
        <v>1970</v>
      </c>
      <c r="CD17" s="4" t="str">
        <f>"40,00"</f>
        <v>40,00</v>
      </c>
      <c r="CE17" s="4" t="str">
        <f>"2024-2026"</f>
        <v>2024-2026</v>
      </c>
      <c r="CF17" s="4" t="str">
        <f>"1970"</f>
        <v>1970</v>
      </c>
      <c r="CG17" s="4" t="str">
        <f>"35,00"</f>
        <v>35,00</v>
      </c>
      <c r="CH17" s="4" t="str">
        <f>"2043-2045"</f>
        <v>2043-2045</v>
      </c>
      <c r="CI17" s="4" t="str">
        <f>"44,00"</f>
        <v>44,00</v>
      </c>
      <c r="CJ17" s="4" t="str">
        <f>"2024-2026"</f>
        <v>2024-2026</v>
      </c>
    </row>
    <row r="18" spans="1:88" ht="11.25" customHeight="1">
      <c r="A18" s="45" t="str">
        <f>"24.5"</f>
        <v>24.5</v>
      </c>
      <c r="B18" s="46" t="str">
        <f>"г. Харовск, пер. Больничный, д.3"</f>
        <v>г. Харовск, пер. Больничный, д.3</v>
      </c>
      <c r="C18" s="6" t="str">
        <f>"1963"</f>
        <v>1963</v>
      </c>
      <c r="D18" s="4" t="str">
        <f>"1963"</f>
        <v>1963</v>
      </c>
      <c r="E18" s="4" t="str">
        <f>"60,00"</f>
        <v>60,00</v>
      </c>
      <c r="F18" s="4" t="str">
        <f>"2021-2023"</f>
        <v>2021-2023</v>
      </c>
      <c r="G18" s="4" t="str">
        <f t="shared" si="0"/>
        <v>нет</v>
      </c>
      <c r="H18" s="4" t="str">
        <f>""</f>
        <v/>
      </c>
      <c r="I18" s="4" t="str">
        <f>""</f>
        <v/>
      </c>
      <c r="J18" s="4" t="str">
        <f>""</f>
        <v/>
      </c>
      <c r="K18" s="4" t="str">
        <f t="shared" si="1"/>
        <v>нет</v>
      </c>
      <c r="L18" s="4" t="str">
        <f>""</f>
        <v/>
      </c>
      <c r="M18" s="4" t="str">
        <f>""</f>
        <v/>
      </c>
      <c r="N18" s="4" t="str">
        <f>""</f>
        <v/>
      </c>
      <c r="O18" s="7" t="str">
        <f t="shared" si="14"/>
        <v>х</v>
      </c>
      <c r="P18" s="4" t="str">
        <f t="shared" si="14"/>
        <v>х</v>
      </c>
      <c r="Q18" s="4" t="str">
        <f>"х"</f>
        <v>х</v>
      </c>
      <c r="R18" s="4" t="str">
        <f t="shared" si="15"/>
        <v>х</v>
      </c>
      <c r="S18" s="4" t="str">
        <f t="shared" si="15"/>
        <v>х</v>
      </c>
      <c r="T18" s="4" t="str">
        <f t="shared" si="15"/>
        <v>х</v>
      </c>
      <c r="U18" s="4" t="str">
        <f t="shared" si="15"/>
        <v>х</v>
      </c>
      <c r="V18" s="4" t="str">
        <f t="shared" si="15"/>
        <v>х</v>
      </c>
      <c r="W18" s="4" t="str">
        <f t="shared" si="15"/>
        <v>х</v>
      </c>
      <c r="X18" s="4" t="str">
        <f t="shared" si="15"/>
        <v>х</v>
      </c>
      <c r="Y18" s="8" t="str">
        <f t="shared" si="15"/>
        <v>х</v>
      </c>
      <c r="Z18" s="4" t="str">
        <f t="shared" si="2"/>
        <v>х</v>
      </c>
      <c r="AA18" s="4" t="str">
        <f t="shared" si="2"/>
        <v>х</v>
      </c>
      <c r="AB18" s="4" t="str">
        <f t="shared" si="2"/>
        <v>х</v>
      </c>
      <c r="AC18" s="4" t="str">
        <f t="shared" si="2"/>
        <v>х</v>
      </c>
      <c r="AD18" s="4" t="str">
        <f t="shared" si="2"/>
        <v>х</v>
      </c>
      <c r="AE18" s="4" t="str">
        <f t="shared" si="2"/>
        <v>х</v>
      </c>
      <c r="AF18" s="4" t="str">
        <f t="shared" si="2"/>
        <v>х</v>
      </c>
      <c r="AG18" s="4" t="str">
        <f t="shared" si="2"/>
        <v>х</v>
      </c>
      <c r="AH18" s="4" t="str">
        <f t="shared" si="2"/>
        <v>х</v>
      </c>
      <c r="AI18" s="4" t="str">
        <f t="shared" si="2"/>
        <v>х</v>
      </c>
      <c r="AJ18" s="4" t="str">
        <f t="shared" si="2"/>
        <v>х</v>
      </c>
      <c r="AK18" s="7" t="str">
        <f>"1963"</f>
        <v>1963</v>
      </c>
      <c r="AL18" s="4" t="str">
        <f>"60,00"</f>
        <v>60,00</v>
      </c>
      <c r="AM18" s="4" t="str">
        <f>"2021-2023"</f>
        <v>2021-2023</v>
      </c>
      <c r="AN18" s="4" t="str">
        <f>"нет"</f>
        <v>нет</v>
      </c>
      <c r="AO18" s="4" t="str">
        <f>""</f>
        <v/>
      </c>
      <c r="AP18" s="4" t="str">
        <f>""</f>
        <v/>
      </c>
      <c r="AQ18" s="4" t="str">
        <f>""</f>
        <v/>
      </c>
      <c r="AR18" s="4" t="str">
        <f>"нет"</f>
        <v>нет</v>
      </c>
      <c r="AS18" s="4" t="str">
        <f>""</f>
        <v/>
      </c>
      <c r="AT18" s="4" t="str">
        <f>""</f>
        <v/>
      </c>
      <c r="AU18" s="4" t="str">
        <f>""</f>
        <v/>
      </c>
      <c r="AV18" s="4" t="str">
        <f t="shared" si="13"/>
        <v>х</v>
      </c>
      <c r="AW18" s="4" t="str">
        <f t="shared" si="13"/>
        <v>х</v>
      </c>
      <c r="AX18" s="4" t="str">
        <f t="shared" si="13"/>
        <v>х</v>
      </c>
      <c r="AY18" s="4" t="str">
        <f t="shared" si="13"/>
        <v>х</v>
      </c>
      <c r="AZ18" s="4" t="str">
        <f t="shared" si="3"/>
        <v>х</v>
      </c>
      <c r="BA18" s="4" t="str">
        <f t="shared" si="3"/>
        <v>х</v>
      </c>
      <c r="BB18" s="4" t="str">
        <f t="shared" si="3"/>
        <v>х</v>
      </c>
      <c r="BC18" s="4" t="str">
        <f t="shared" si="11"/>
        <v>х</v>
      </c>
      <c r="BD18" s="4" t="str">
        <f t="shared" si="4"/>
        <v>х</v>
      </c>
      <c r="BE18" s="4" t="str">
        <f t="shared" si="4"/>
        <v>х</v>
      </c>
      <c r="BF18" s="4" t="str">
        <f t="shared" si="4"/>
        <v>х</v>
      </c>
      <c r="BG18" s="4" t="str">
        <f t="shared" si="17"/>
        <v>х</v>
      </c>
      <c r="BH18" s="4" t="str">
        <f t="shared" si="17"/>
        <v>х</v>
      </c>
      <c r="BI18" s="4" t="str">
        <f>"х"</f>
        <v>х</v>
      </c>
      <c r="BJ18" s="4" t="str">
        <f t="shared" si="18"/>
        <v>х</v>
      </c>
      <c r="BK18" s="4" t="str">
        <f t="shared" si="18"/>
        <v>х</v>
      </c>
      <c r="BL18" s="4" t="str">
        <f t="shared" si="18"/>
        <v>х</v>
      </c>
      <c r="BM18" s="4" t="str">
        <f t="shared" si="18"/>
        <v>х</v>
      </c>
      <c r="BN18" s="4" t="str">
        <f t="shared" si="18"/>
        <v>х</v>
      </c>
      <c r="BO18" s="4" t="str">
        <f t="shared" si="18"/>
        <v>х</v>
      </c>
      <c r="BP18" s="4" t="str">
        <f t="shared" si="18"/>
        <v>х</v>
      </c>
      <c r="BQ18" s="4" t="str">
        <f t="shared" si="18"/>
        <v>х</v>
      </c>
      <c r="BR18" s="4" t="str">
        <f>"1963"</f>
        <v>1963</v>
      </c>
      <c r="BS18" s="4" t="str">
        <f>"60,00"</f>
        <v>60,00</v>
      </c>
      <c r="BT18" s="4" t="str">
        <f>"2021-2023"</f>
        <v>2021-2023</v>
      </c>
      <c r="BU18" s="4" t="str">
        <f t="shared" si="5"/>
        <v>нет</v>
      </c>
      <c r="BV18" s="4" t="str">
        <f t="shared" si="6"/>
        <v>x</v>
      </c>
      <c r="BW18" s="4" t="str">
        <f t="shared" si="6"/>
        <v>x</v>
      </c>
      <c r="BX18" s="4" t="str">
        <f t="shared" si="6"/>
        <v>x</v>
      </c>
      <c r="BY18" s="4" t="str">
        <f t="shared" si="7"/>
        <v>нет</v>
      </c>
      <c r="BZ18" s="4" t="str">
        <f t="shared" si="8"/>
        <v>x</v>
      </c>
      <c r="CA18" s="4" t="str">
        <f t="shared" si="8"/>
        <v>x</v>
      </c>
      <c r="CB18" s="4" t="str">
        <f t="shared" si="8"/>
        <v>x</v>
      </c>
      <c r="CC18" s="4" t="str">
        <f>"1963"</f>
        <v>1963</v>
      </c>
      <c r="CD18" s="4" t="str">
        <f>"45,00"</f>
        <v>45,00</v>
      </c>
      <c r="CE18" s="4" t="str">
        <f>"2021-2023"</f>
        <v>2021-2023</v>
      </c>
      <c r="CF18" s="4" t="str">
        <f>"1963"</f>
        <v>1963</v>
      </c>
      <c r="CG18" s="4" t="str">
        <f>"60,00"</f>
        <v>60,00</v>
      </c>
      <c r="CH18" s="4" t="str">
        <f>"2021-2023"</f>
        <v>2021-2023</v>
      </c>
      <c r="CI18" s="4" t="str">
        <f>"59,00"</f>
        <v>59,00</v>
      </c>
      <c r="CJ18" s="4" t="str">
        <f>"2021-2023"</f>
        <v>2021-2023</v>
      </c>
    </row>
    <row r="19" spans="1:88" ht="11.25" customHeight="1">
      <c r="A19" s="45" t="str">
        <f>"24.6"</f>
        <v>24.6</v>
      </c>
      <c r="B19" s="46" t="str">
        <f>"г. Харовск, пер. Больничный, д.4"</f>
        <v>г. Харовск, пер. Больничный, д.4</v>
      </c>
      <c r="C19" s="6" t="str">
        <f>"1967"</f>
        <v>1967</v>
      </c>
      <c r="D19" s="4" t="str">
        <f>"1967"</f>
        <v>1967</v>
      </c>
      <c r="E19" s="4" t="str">
        <f>"45,00"</f>
        <v>45,00</v>
      </c>
      <c r="F19" s="4" t="str">
        <f>"2023-2025"</f>
        <v>2023-2025</v>
      </c>
      <c r="G19" s="4" t="str">
        <f t="shared" si="0"/>
        <v>нет</v>
      </c>
      <c r="H19" s="4" t="str">
        <f>""</f>
        <v/>
      </c>
      <c r="I19" s="4" t="str">
        <f>""</f>
        <v/>
      </c>
      <c r="J19" s="4" t="str">
        <f>""</f>
        <v/>
      </c>
      <c r="K19" s="4" t="str">
        <f t="shared" si="1"/>
        <v>нет</v>
      </c>
      <c r="L19" s="4" t="str">
        <f>""</f>
        <v/>
      </c>
      <c r="M19" s="4" t="str">
        <f>""</f>
        <v/>
      </c>
      <c r="N19" s="4" t="str">
        <f>""</f>
        <v/>
      </c>
      <c r="O19" s="7" t="str">
        <f t="shared" si="14"/>
        <v>х</v>
      </c>
      <c r="P19" s="4" t="str">
        <f t="shared" si="14"/>
        <v>х</v>
      </c>
      <c r="Q19" s="4" t="str">
        <f>"2043-2045"</f>
        <v>2043-2045</v>
      </c>
      <c r="R19" s="4" t="str">
        <f t="shared" si="15"/>
        <v>х</v>
      </c>
      <c r="S19" s="4" t="str">
        <f t="shared" si="15"/>
        <v>х</v>
      </c>
      <c r="T19" s="4" t="str">
        <f t="shared" si="15"/>
        <v>х</v>
      </c>
      <c r="U19" s="4" t="str">
        <f t="shared" si="15"/>
        <v>х</v>
      </c>
      <c r="V19" s="4" t="str">
        <f t="shared" si="15"/>
        <v>х</v>
      </c>
      <c r="W19" s="4" t="str">
        <f t="shared" si="15"/>
        <v>х</v>
      </c>
      <c r="X19" s="4" t="str">
        <f t="shared" si="15"/>
        <v>х</v>
      </c>
      <c r="Y19" s="8" t="str">
        <f t="shared" si="15"/>
        <v>х</v>
      </c>
      <c r="Z19" s="4" t="str">
        <f t="shared" si="2"/>
        <v>х</v>
      </c>
      <c r="AA19" s="4" t="str">
        <f t="shared" si="2"/>
        <v>х</v>
      </c>
      <c r="AB19" s="4" t="str">
        <f t="shared" si="2"/>
        <v>х</v>
      </c>
      <c r="AC19" s="4" t="str">
        <f t="shared" si="2"/>
        <v>х</v>
      </c>
      <c r="AD19" s="4" t="str">
        <f t="shared" si="2"/>
        <v>х</v>
      </c>
      <c r="AE19" s="4" t="str">
        <f t="shared" si="2"/>
        <v>х</v>
      </c>
      <c r="AF19" s="4" t="str">
        <f t="shared" si="2"/>
        <v>х</v>
      </c>
      <c r="AG19" s="4" t="str">
        <f t="shared" si="2"/>
        <v>х</v>
      </c>
      <c r="AH19" s="4" t="str">
        <f t="shared" si="2"/>
        <v>х</v>
      </c>
      <c r="AI19" s="4" t="str">
        <f t="shared" si="2"/>
        <v>х</v>
      </c>
      <c r="AJ19" s="4" t="str">
        <f t="shared" si="2"/>
        <v>х</v>
      </c>
      <c r="AK19" s="7" t="str">
        <f>"х"</f>
        <v>х</v>
      </c>
      <c r="AL19" s="4" t="str">
        <f>"х"</f>
        <v>х</v>
      </c>
      <c r="AM19" s="4" t="str">
        <f>"2023-2025"</f>
        <v>2023-2025</v>
      </c>
      <c r="AN19" s="4" t="str">
        <f t="shared" ref="AN19:AU19" si="19">"х"</f>
        <v>х</v>
      </c>
      <c r="AO19" s="4" t="str">
        <f t="shared" si="19"/>
        <v>х</v>
      </c>
      <c r="AP19" s="4" t="str">
        <f t="shared" si="19"/>
        <v>х</v>
      </c>
      <c r="AQ19" s="4" t="str">
        <f t="shared" si="19"/>
        <v>х</v>
      </c>
      <c r="AR19" s="4" t="str">
        <f t="shared" si="19"/>
        <v>х</v>
      </c>
      <c r="AS19" s="4" t="str">
        <f t="shared" si="19"/>
        <v>х</v>
      </c>
      <c r="AT19" s="4" t="str">
        <f t="shared" si="19"/>
        <v>х</v>
      </c>
      <c r="AU19" s="4" t="str">
        <f t="shared" si="19"/>
        <v>х</v>
      </c>
      <c r="AV19" s="4" t="str">
        <f t="shared" si="13"/>
        <v>х</v>
      </c>
      <c r="AW19" s="4" t="str">
        <f t="shared" si="13"/>
        <v>х</v>
      </c>
      <c r="AX19" s="4" t="str">
        <f t="shared" si="13"/>
        <v>х</v>
      </c>
      <c r="AY19" s="4" t="str">
        <f t="shared" si="13"/>
        <v>х</v>
      </c>
      <c r="AZ19" s="4" t="str">
        <f t="shared" si="3"/>
        <v>х</v>
      </c>
      <c r="BA19" s="4" t="str">
        <f t="shared" si="3"/>
        <v>х</v>
      </c>
      <c r="BB19" s="4" t="str">
        <f t="shared" si="3"/>
        <v>х</v>
      </c>
      <c r="BC19" s="4" t="str">
        <f t="shared" si="11"/>
        <v>х</v>
      </c>
      <c r="BD19" s="4" t="str">
        <f t="shared" si="4"/>
        <v>х</v>
      </c>
      <c r="BE19" s="4" t="str">
        <f t="shared" si="4"/>
        <v>х</v>
      </c>
      <c r="BF19" s="4" t="str">
        <f t="shared" si="4"/>
        <v>х</v>
      </c>
      <c r="BG19" s="4" t="str">
        <f t="shared" si="17"/>
        <v>х</v>
      </c>
      <c r="BH19" s="4" t="str">
        <f t="shared" si="17"/>
        <v>х</v>
      </c>
      <c r="BI19" s="4" t="str">
        <f>"2023-2025"</f>
        <v>2023-2025</v>
      </c>
      <c r="BJ19" s="4" t="str">
        <f t="shared" si="18"/>
        <v>х</v>
      </c>
      <c r="BK19" s="4" t="str">
        <f t="shared" si="18"/>
        <v>х</v>
      </c>
      <c r="BL19" s="4" t="str">
        <f t="shared" si="18"/>
        <v>х</v>
      </c>
      <c r="BM19" s="4" t="str">
        <f t="shared" si="18"/>
        <v>х</v>
      </c>
      <c r="BN19" s="4" t="str">
        <f t="shared" si="18"/>
        <v>х</v>
      </c>
      <c r="BO19" s="4" t="str">
        <f t="shared" si="18"/>
        <v>х</v>
      </c>
      <c r="BP19" s="4" t="str">
        <f t="shared" si="18"/>
        <v>х</v>
      </c>
      <c r="BQ19" s="4" t="str">
        <f t="shared" si="18"/>
        <v>х</v>
      </c>
      <c r="BR19" s="4" t="str">
        <f>"1967"</f>
        <v>1967</v>
      </c>
      <c r="BS19" s="4" t="str">
        <f>"50,00"</f>
        <v>50,00</v>
      </c>
      <c r="BT19" s="4" t="str">
        <f>"2023-2025"</f>
        <v>2023-2025</v>
      </c>
      <c r="BU19" s="4" t="str">
        <f t="shared" si="5"/>
        <v>нет</v>
      </c>
      <c r="BV19" s="4" t="str">
        <f t="shared" si="6"/>
        <v>x</v>
      </c>
      <c r="BW19" s="4" t="str">
        <f t="shared" si="6"/>
        <v>x</v>
      </c>
      <c r="BX19" s="4" t="str">
        <f t="shared" si="6"/>
        <v>x</v>
      </c>
      <c r="BY19" s="4" t="str">
        <f t="shared" si="7"/>
        <v>нет</v>
      </c>
      <c r="BZ19" s="4" t="str">
        <f t="shared" si="8"/>
        <v>x</v>
      </c>
      <c r="CA19" s="4" t="str">
        <f t="shared" si="8"/>
        <v>x</v>
      </c>
      <c r="CB19" s="4" t="str">
        <f t="shared" si="8"/>
        <v>x</v>
      </c>
      <c r="CC19" s="4" t="str">
        <f>"1967"</f>
        <v>1967</v>
      </c>
      <c r="CD19" s="4" t="str">
        <f>"40,00"</f>
        <v>40,00</v>
      </c>
      <c r="CE19" s="4" t="str">
        <f>"2023-2025"</f>
        <v>2023-2025</v>
      </c>
      <c r="CF19" s="4" t="str">
        <f>"1967"</f>
        <v>1967</v>
      </c>
      <c r="CG19" s="4" t="str">
        <f>"35,00"</f>
        <v>35,00</v>
      </c>
      <c r="CH19" s="4" t="str">
        <f>"2043-2045"</f>
        <v>2043-2045</v>
      </c>
      <c r="CI19" s="4" t="str">
        <f>"44,00"</f>
        <v>44,00</v>
      </c>
      <c r="CJ19" s="4" t="str">
        <f>"2023-2025"</f>
        <v>2023-2025</v>
      </c>
    </row>
    <row r="20" spans="1:88" ht="11.25" customHeight="1">
      <c r="A20" s="45" t="str">
        <f>"24.7"</f>
        <v>24.7</v>
      </c>
      <c r="B20" s="46" t="str">
        <f>"г. Харовск, пер. Больничный, д.5"</f>
        <v>г. Харовск, пер. Больничный, д.5</v>
      </c>
      <c r="C20" s="6" t="str">
        <f>"1963"</f>
        <v>1963</v>
      </c>
      <c r="D20" s="4" t="str">
        <f>"1963"</f>
        <v>1963</v>
      </c>
      <c r="E20" s="4" t="str">
        <f>"60,00"</f>
        <v>60,00</v>
      </c>
      <c r="F20" s="4" t="str">
        <f>"2021-2023"</f>
        <v>2021-2023</v>
      </c>
      <c r="G20" s="4" t="str">
        <f t="shared" si="0"/>
        <v>нет</v>
      </c>
      <c r="H20" s="4" t="str">
        <f>""</f>
        <v/>
      </c>
      <c r="I20" s="4" t="str">
        <f>""</f>
        <v/>
      </c>
      <c r="J20" s="4" t="str">
        <f>""</f>
        <v/>
      </c>
      <c r="K20" s="4" t="str">
        <f t="shared" si="1"/>
        <v>нет</v>
      </c>
      <c r="L20" s="4" t="str">
        <f>""</f>
        <v/>
      </c>
      <c r="M20" s="4" t="str">
        <f>""</f>
        <v/>
      </c>
      <c r="N20" s="4" t="str">
        <f>""</f>
        <v/>
      </c>
      <c r="O20" s="7" t="str">
        <f t="shared" si="14"/>
        <v>х</v>
      </c>
      <c r="P20" s="4" t="str">
        <f t="shared" si="14"/>
        <v>х</v>
      </c>
      <c r="Q20" s="4" t="str">
        <f t="shared" ref="Q20:Q26" si="20">"х"</f>
        <v>х</v>
      </c>
      <c r="R20" s="4" t="str">
        <f t="shared" si="15"/>
        <v>х</v>
      </c>
      <c r="S20" s="4" t="str">
        <f t="shared" si="15"/>
        <v>х</v>
      </c>
      <c r="T20" s="4" t="str">
        <f t="shared" si="15"/>
        <v>х</v>
      </c>
      <c r="U20" s="4" t="str">
        <f t="shared" si="15"/>
        <v>х</v>
      </c>
      <c r="V20" s="4" t="str">
        <f t="shared" si="15"/>
        <v>х</v>
      </c>
      <c r="W20" s="4" t="str">
        <f t="shared" si="15"/>
        <v>х</v>
      </c>
      <c r="X20" s="4" t="str">
        <f t="shared" si="15"/>
        <v>х</v>
      </c>
      <c r="Y20" s="8" t="str">
        <f t="shared" si="15"/>
        <v>х</v>
      </c>
      <c r="Z20" s="4" t="str">
        <f t="shared" si="2"/>
        <v>х</v>
      </c>
      <c r="AA20" s="4" t="str">
        <f t="shared" si="2"/>
        <v>х</v>
      </c>
      <c r="AB20" s="4" t="str">
        <f t="shared" si="2"/>
        <v>х</v>
      </c>
      <c r="AC20" s="4" t="str">
        <f t="shared" si="2"/>
        <v>х</v>
      </c>
      <c r="AD20" s="4" t="str">
        <f t="shared" si="2"/>
        <v>х</v>
      </c>
      <c r="AE20" s="4" t="str">
        <f t="shared" si="2"/>
        <v>х</v>
      </c>
      <c r="AF20" s="4" t="str">
        <f t="shared" si="2"/>
        <v>х</v>
      </c>
      <c r="AG20" s="4" t="str">
        <f t="shared" si="2"/>
        <v>х</v>
      </c>
      <c r="AH20" s="4" t="str">
        <f t="shared" si="2"/>
        <v>х</v>
      </c>
      <c r="AI20" s="4" t="str">
        <f t="shared" si="2"/>
        <v>х</v>
      </c>
      <c r="AJ20" s="4" t="str">
        <f t="shared" si="2"/>
        <v>х</v>
      </c>
      <c r="AK20" s="7" t="str">
        <f>"1963"</f>
        <v>1963</v>
      </c>
      <c r="AL20" s="4" t="str">
        <f>"60,00"</f>
        <v>60,00</v>
      </c>
      <c r="AM20" s="4" t="str">
        <f>"2021-2023"</f>
        <v>2021-2023</v>
      </c>
      <c r="AN20" s="4" t="str">
        <f>"нет"</f>
        <v>нет</v>
      </c>
      <c r="AO20" s="4" t="str">
        <f>""</f>
        <v/>
      </c>
      <c r="AP20" s="4" t="str">
        <f>""</f>
        <v/>
      </c>
      <c r="AQ20" s="4" t="str">
        <f>""</f>
        <v/>
      </c>
      <c r="AR20" s="4" t="str">
        <f>"нет"</f>
        <v>нет</v>
      </c>
      <c r="AS20" s="4" t="str">
        <f>""</f>
        <v/>
      </c>
      <c r="AT20" s="4" t="str">
        <f>""</f>
        <v/>
      </c>
      <c r="AU20" s="4" t="str">
        <f>""</f>
        <v/>
      </c>
      <c r="AV20" s="4" t="str">
        <f t="shared" si="13"/>
        <v>х</v>
      </c>
      <c r="AW20" s="4" t="str">
        <f t="shared" si="13"/>
        <v>х</v>
      </c>
      <c r="AX20" s="4" t="str">
        <f t="shared" si="13"/>
        <v>х</v>
      </c>
      <c r="AY20" s="4" t="str">
        <f t="shared" si="13"/>
        <v>х</v>
      </c>
      <c r="AZ20" s="4" t="str">
        <f t="shared" si="3"/>
        <v>х</v>
      </c>
      <c r="BA20" s="4" t="str">
        <f t="shared" si="3"/>
        <v>х</v>
      </c>
      <c r="BB20" s="4" t="str">
        <f t="shared" si="3"/>
        <v>х</v>
      </c>
      <c r="BC20" s="4" t="str">
        <f t="shared" si="11"/>
        <v>х</v>
      </c>
      <c r="BD20" s="4" t="str">
        <f t="shared" si="4"/>
        <v>х</v>
      </c>
      <c r="BE20" s="4" t="str">
        <f t="shared" si="4"/>
        <v>х</v>
      </c>
      <c r="BF20" s="4" t="str">
        <f t="shared" si="4"/>
        <v>х</v>
      </c>
      <c r="BG20" s="4" t="str">
        <f t="shared" si="17"/>
        <v>х</v>
      </c>
      <c r="BH20" s="4" t="str">
        <f t="shared" si="17"/>
        <v>х</v>
      </c>
      <c r="BI20" s="4" t="str">
        <f t="shared" ref="BI20:BI26" si="21">"х"</f>
        <v>х</v>
      </c>
      <c r="BJ20" s="4" t="str">
        <f t="shared" si="18"/>
        <v>х</v>
      </c>
      <c r="BK20" s="4" t="str">
        <f t="shared" si="18"/>
        <v>х</v>
      </c>
      <c r="BL20" s="4" t="str">
        <f t="shared" si="18"/>
        <v>х</v>
      </c>
      <c r="BM20" s="4" t="str">
        <f t="shared" si="18"/>
        <v>х</v>
      </c>
      <c r="BN20" s="4" t="str">
        <f t="shared" si="18"/>
        <v>х</v>
      </c>
      <c r="BO20" s="4" t="str">
        <f t="shared" si="18"/>
        <v>х</v>
      </c>
      <c r="BP20" s="4" t="str">
        <f t="shared" si="18"/>
        <v>х</v>
      </c>
      <c r="BQ20" s="4" t="str">
        <f t="shared" si="18"/>
        <v>х</v>
      </c>
      <c r="BR20" s="4" t="str">
        <f>"1963"</f>
        <v>1963</v>
      </c>
      <c r="BS20" s="4" t="str">
        <f>"60,00"</f>
        <v>60,00</v>
      </c>
      <c r="BT20" s="4" t="str">
        <f>"2021-2023"</f>
        <v>2021-2023</v>
      </c>
      <c r="BU20" s="4" t="str">
        <f t="shared" si="5"/>
        <v>нет</v>
      </c>
      <c r="BV20" s="4" t="str">
        <f t="shared" si="6"/>
        <v>x</v>
      </c>
      <c r="BW20" s="4" t="str">
        <f t="shared" si="6"/>
        <v>x</v>
      </c>
      <c r="BX20" s="4" t="str">
        <f t="shared" si="6"/>
        <v>x</v>
      </c>
      <c r="BY20" s="4" t="str">
        <f t="shared" si="7"/>
        <v>нет</v>
      </c>
      <c r="BZ20" s="4" t="str">
        <f t="shared" si="8"/>
        <v>x</v>
      </c>
      <c r="CA20" s="4" t="str">
        <f t="shared" si="8"/>
        <v>x</v>
      </c>
      <c r="CB20" s="4" t="str">
        <f t="shared" si="8"/>
        <v>x</v>
      </c>
      <c r="CC20" s="4" t="str">
        <f>"1963"</f>
        <v>1963</v>
      </c>
      <c r="CD20" s="4" t="str">
        <f>"45,00"</f>
        <v>45,00</v>
      </c>
      <c r="CE20" s="4" t="str">
        <f>"2021-2023"</f>
        <v>2021-2023</v>
      </c>
      <c r="CF20" s="4" t="str">
        <f>"1963"</f>
        <v>1963</v>
      </c>
      <c r="CG20" s="4" t="str">
        <f>"50,00"</f>
        <v>50,00</v>
      </c>
      <c r="CH20" s="4" t="str">
        <f>"2021-2023"</f>
        <v>2021-2023</v>
      </c>
      <c r="CI20" s="4" t="str">
        <f>"59,00"</f>
        <v>59,00</v>
      </c>
      <c r="CJ20" s="4" t="str">
        <f>"2021-2023"</f>
        <v>2021-2023</v>
      </c>
    </row>
    <row r="21" spans="1:88" ht="11.25" customHeight="1">
      <c r="A21" s="45" t="str">
        <f>"24.8"</f>
        <v>24.8</v>
      </c>
      <c r="B21" s="46" t="str">
        <f>"г. Харовск, пер. Больничный, д.7"</f>
        <v>г. Харовск, пер. Больничный, д.7</v>
      </c>
      <c r="C21" s="6" t="str">
        <f>"1965"</f>
        <v>1965</v>
      </c>
      <c r="D21" s="4" t="str">
        <f>"1965"</f>
        <v>1965</v>
      </c>
      <c r="E21" s="4" t="str">
        <f>"60,00"</f>
        <v>60,00</v>
      </c>
      <c r="F21" s="4" t="str">
        <f>"2022-2024"</f>
        <v>2022-2024</v>
      </c>
      <c r="G21" s="4" t="str">
        <f t="shared" si="0"/>
        <v>нет</v>
      </c>
      <c r="H21" s="4" t="str">
        <f>""</f>
        <v/>
      </c>
      <c r="I21" s="4" t="str">
        <f>""</f>
        <v/>
      </c>
      <c r="J21" s="4" t="str">
        <f>""</f>
        <v/>
      </c>
      <c r="K21" s="4" t="str">
        <f t="shared" si="1"/>
        <v>нет</v>
      </c>
      <c r="L21" s="4" t="str">
        <f>""</f>
        <v/>
      </c>
      <c r="M21" s="4" t="str">
        <f>""</f>
        <v/>
      </c>
      <c r="N21" s="4" t="str">
        <f>""</f>
        <v/>
      </c>
      <c r="O21" s="7" t="str">
        <f t="shared" si="14"/>
        <v>х</v>
      </c>
      <c r="P21" s="4" t="str">
        <f t="shared" si="14"/>
        <v>х</v>
      </c>
      <c r="Q21" s="4" t="str">
        <f t="shared" si="20"/>
        <v>х</v>
      </c>
      <c r="R21" s="4" t="str">
        <f t="shared" si="15"/>
        <v>х</v>
      </c>
      <c r="S21" s="4" t="str">
        <f t="shared" si="15"/>
        <v>х</v>
      </c>
      <c r="T21" s="4" t="str">
        <f t="shared" si="15"/>
        <v>х</v>
      </c>
      <c r="U21" s="4" t="str">
        <f t="shared" si="15"/>
        <v>х</v>
      </c>
      <c r="V21" s="4" t="str">
        <f t="shared" si="15"/>
        <v>х</v>
      </c>
      <c r="W21" s="4" t="str">
        <f t="shared" si="15"/>
        <v>х</v>
      </c>
      <c r="X21" s="4" t="str">
        <f t="shared" si="15"/>
        <v>х</v>
      </c>
      <c r="Y21" s="8" t="str">
        <f t="shared" si="15"/>
        <v>х</v>
      </c>
      <c r="Z21" s="4" t="str">
        <f t="shared" si="2"/>
        <v>х</v>
      </c>
      <c r="AA21" s="4" t="str">
        <f t="shared" si="2"/>
        <v>х</v>
      </c>
      <c r="AB21" s="4" t="str">
        <f t="shared" si="2"/>
        <v>х</v>
      </c>
      <c r="AC21" s="4" t="str">
        <f t="shared" si="2"/>
        <v>х</v>
      </c>
      <c r="AD21" s="4" t="str">
        <f t="shared" si="2"/>
        <v>х</v>
      </c>
      <c r="AE21" s="4" t="str">
        <f t="shared" si="2"/>
        <v>х</v>
      </c>
      <c r="AF21" s="4" t="str">
        <f t="shared" si="2"/>
        <v>х</v>
      </c>
      <c r="AG21" s="4" t="str">
        <f t="shared" si="2"/>
        <v>х</v>
      </c>
      <c r="AH21" s="4" t="str">
        <f t="shared" si="2"/>
        <v>х</v>
      </c>
      <c r="AI21" s="4" t="str">
        <f t="shared" si="2"/>
        <v>х</v>
      </c>
      <c r="AJ21" s="4" t="str">
        <f t="shared" si="2"/>
        <v>х</v>
      </c>
      <c r="AK21" s="7" t="str">
        <f>"х"</f>
        <v>х</v>
      </c>
      <c r="AL21" s="4" t="str">
        <f>"х"</f>
        <v>х</v>
      </c>
      <c r="AM21" s="4" t="str">
        <f>"2022-2024"</f>
        <v>2022-2024</v>
      </c>
      <c r="AN21" s="4" t="str">
        <f t="shared" ref="AN21:AU22" si="22">"х"</f>
        <v>х</v>
      </c>
      <c r="AO21" s="4" t="str">
        <f t="shared" si="22"/>
        <v>х</v>
      </c>
      <c r="AP21" s="4" t="str">
        <f t="shared" si="22"/>
        <v>х</v>
      </c>
      <c r="AQ21" s="4" t="str">
        <f t="shared" si="22"/>
        <v>х</v>
      </c>
      <c r="AR21" s="4" t="str">
        <f t="shared" si="22"/>
        <v>х</v>
      </c>
      <c r="AS21" s="4" t="str">
        <f t="shared" si="22"/>
        <v>х</v>
      </c>
      <c r="AT21" s="4" t="str">
        <f t="shared" si="22"/>
        <v>х</v>
      </c>
      <c r="AU21" s="4" t="str">
        <f t="shared" si="22"/>
        <v>х</v>
      </c>
      <c r="AV21" s="4" t="str">
        <f t="shared" si="13"/>
        <v>х</v>
      </c>
      <c r="AW21" s="4" t="str">
        <f t="shared" si="13"/>
        <v>х</v>
      </c>
      <c r="AX21" s="4" t="str">
        <f t="shared" si="13"/>
        <v>х</v>
      </c>
      <c r="AY21" s="4" t="str">
        <f t="shared" si="13"/>
        <v>х</v>
      </c>
      <c r="AZ21" s="4" t="str">
        <f t="shared" si="3"/>
        <v>х</v>
      </c>
      <c r="BA21" s="4" t="str">
        <f t="shared" si="3"/>
        <v>х</v>
      </c>
      <c r="BB21" s="4" t="str">
        <f t="shared" si="3"/>
        <v>х</v>
      </c>
      <c r="BC21" s="4" t="str">
        <f t="shared" si="11"/>
        <v>х</v>
      </c>
      <c r="BD21" s="4" t="str">
        <f t="shared" si="4"/>
        <v>х</v>
      </c>
      <c r="BE21" s="4" t="str">
        <f t="shared" si="4"/>
        <v>х</v>
      </c>
      <c r="BF21" s="4" t="str">
        <f t="shared" si="4"/>
        <v>х</v>
      </c>
      <c r="BG21" s="4" t="str">
        <f t="shared" si="17"/>
        <v>х</v>
      </c>
      <c r="BH21" s="4" t="str">
        <f t="shared" si="17"/>
        <v>х</v>
      </c>
      <c r="BI21" s="4" t="str">
        <f t="shared" si="21"/>
        <v>х</v>
      </c>
      <c r="BJ21" s="4" t="str">
        <f t="shared" si="18"/>
        <v>х</v>
      </c>
      <c r="BK21" s="4" t="str">
        <f t="shared" si="18"/>
        <v>х</v>
      </c>
      <c r="BL21" s="4" t="str">
        <f t="shared" si="18"/>
        <v>х</v>
      </c>
      <c r="BM21" s="4" t="str">
        <f t="shared" si="18"/>
        <v>х</v>
      </c>
      <c r="BN21" s="4" t="str">
        <f t="shared" si="18"/>
        <v>х</v>
      </c>
      <c r="BO21" s="4" t="str">
        <f t="shared" si="18"/>
        <v>х</v>
      </c>
      <c r="BP21" s="4" t="str">
        <f t="shared" si="18"/>
        <v>х</v>
      </c>
      <c r="BQ21" s="4" t="str">
        <f t="shared" si="18"/>
        <v>х</v>
      </c>
      <c r="BR21" s="4" t="str">
        <f>"1965"</f>
        <v>1965</v>
      </c>
      <c r="BS21" s="4" t="str">
        <f>"60,00"</f>
        <v>60,00</v>
      </c>
      <c r="BT21" s="4" t="str">
        <f>"2022-2024"</f>
        <v>2022-2024</v>
      </c>
      <c r="BU21" s="4" t="str">
        <f t="shared" si="5"/>
        <v>нет</v>
      </c>
      <c r="BV21" s="4" t="str">
        <f t="shared" si="6"/>
        <v>x</v>
      </c>
      <c r="BW21" s="4" t="str">
        <f t="shared" si="6"/>
        <v>x</v>
      </c>
      <c r="BX21" s="4" t="str">
        <f t="shared" si="6"/>
        <v>x</v>
      </c>
      <c r="BY21" s="4" t="str">
        <f t="shared" si="7"/>
        <v>нет</v>
      </c>
      <c r="BZ21" s="4" t="str">
        <f t="shared" si="8"/>
        <v>x</v>
      </c>
      <c r="CA21" s="4" t="str">
        <f t="shared" si="8"/>
        <v>x</v>
      </c>
      <c r="CB21" s="4" t="str">
        <f t="shared" si="8"/>
        <v>x</v>
      </c>
      <c r="CC21" s="4" t="str">
        <f>"1965"</f>
        <v>1965</v>
      </c>
      <c r="CD21" s="4" t="str">
        <f>"65,00"</f>
        <v>65,00</v>
      </c>
      <c r="CE21" s="4" t="str">
        <f>"2022-2024"</f>
        <v>2022-2024</v>
      </c>
      <c r="CF21" s="4" t="str">
        <f>"1965"</f>
        <v>1965</v>
      </c>
      <c r="CG21" s="4" t="str">
        <f>"60,00"</f>
        <v>60,00</v>
      </c>
      <c r="CH21" s="4" t="str">
        <f>"2022-2024"</f>
        <v>2022-2024</v>
      </c>
      <c r="CI21" s="4" t="str">
        <f>"62,00"</f>
        <v>62,00</v>
      </c>
      <c r="CJ21" s="4" t="str">
        <f>"2022-2024"</f>
        <v>2022-2024</v>
      </c>
    </row>
    <row r="22" spans="1:88" ht="11.25" customHeight="1">
      <c r="A22" s="45" t="str">
        <f>"24.9"</f>
        <v>24.9</v>
      </c>
      <c r="B22" s="46" t="str">
        <f>"г. Харовск, пер. Больничный, д.9"</f>
        <v>г. Харовск, пер. Больничный, д.9</v>
      </c>
      <c r="C22" s="6" t="str">
        <f>"1965"</f>
        <v>1965</v>
      </c>
      <c r="D22" s="4" t="str">
        <f>"1965"</f>
        <v>1965</v>
      </c>
      <c r="E22" s="4" t="str">
        <f>"60,00"</f>
        <v>60,00</v>
      </c>
      <c r="F22" s="4" t="str">
        <f>"2022-2024"</f>
        <v>2022-2024</v>
      </c>
      <c r="G22" s="4" t="str">
        <f t="shared" si="0"/>
        <v>нет</v>
      </c>
      <c r="H22" s="4" t="str">
        <f>""</f>
        <v/>
      </c>
      <c r="I22" s="4" t="str">
        <f>""</f>
        <v/>
      </c>
      <c r="J22" s="4" t="str">
        <f>""</f>
        <v/>
      </c>
      <c r="K22" s="4" t="str">
        <f t="shared" si="1"/>
        <v>нет</v>
      </c>
      <c r="L22" s="4" t="str">
        <f>""</f>
        <v/>
      </c>
      <c r="M22" s="4" t="str">
        <f>""</f>
        <v/>
      </c>
      <c r="N22" s="4" t="str">
        <f>""</f>
        <v/>
      </c>
      <c r="O22" s="7" t="str">
        <f t="shared" si="14"/>
        <v>х</v>
      </c>
      <c r="P22" s="4" t="str">
        <f t="shared" si="14"/>
        <v>х</v>
      </c>
      <c r="Q22" s="4" t="str">
        <f t="shared" si="20"/>
        <v>х</v>
      </c>
      <c r="R22" s="4" t="str">
        <f t="shared" si="15"/>
        <v>х</v>
      </c>
      <c r="S22" s="4" t="str">
        <f t="shared" si="15"/>
        <v>х</v>
      </c>
      <c r="T22" s="4" t="str">
        <f t="shared" si="15"/>
        <v>х</v>
      </c>
      <c r="U22" s="4" t="str">
        <f t="shared" si="15"/>
        <v>х</v>
      </c>
      <c r="V22" s="4" t="str">
        <f t="shared" si="15"/>
        <v>х</v>
      </c>
      <c r="W22" s="4" t="str">
        <f t="shared" si="15"/>
        <v>х</v>
      </c>
      <c r="X22" s="4" t="str">
        <f t="shared" si="15"/>
        <v>х</v>
      </c>
      <c r="Y22" s="8" t="str">
        <f t="shared" si="15"/>
        <v>х</v>
      </c>
      <c r="Z22" s="4" t="str">
        <f t="shared" si="2"/>
        <v>х</v>
      </c>
      <c r="AA22" s="4" t="str">
        <f t="shared" si="2"/>
        <v>х</v>
      </c>
      <c r="AB22" s="4" t="str">
        <f t="shared" si="2"/>
        <v>х</v>
      </c>
      <c r="AC22" s="4" t="str">
        <f t="shared" si="2"/>
        <v>х</v>
      </c>
      <c r="AD22" s="4" t="str">
        <f t="shared" si="2"/>
        <v>х</v>
      </c>
      <c r="AE22" s="4" t="str">
        <f t="shared" si="2"/>
        <v>х</v>
      </c>
      <c r="AF22" s="4" t="str">
        <f t="shared" si="2"/>
        <v>х</v>
      </c>
      <c r="AG22" s="4" t="str">
        <f t="shared" si="2"/>
        <v>х</v>
      </c>
      <c r="AH22" s="4" t="str">
        <f t="shared" si="2"/>
        <v>х</v>
      </c>
      <c r="AI22" s="4" t="str">
        <f t="shared" si="2"/>
        <v>х</v>
      </c>
      <c r="AJ22" s="4" t="str">
        <f t="shared" si="2"/>
        <v>х</v>
      </c>
      <c r="AK22" s="7" t="str">
        <f>"х"</f>
        <v>х</v>
      </c>
      <c r="AL22" s="4" t="str">
        <f>"х"</f>
        <v>х</v>
      </c>
      <c r="AM22" s="4" t="str">
        <f>"2022-2024"</f>
        <v>2022-2024</v>
      </c>
      <c r="AN22" s="4" t="str">
        <f t="shared" si="22"/>
        <v>х</v>
      </c>
      <c r="AO22" s="4" t="str">
        <f t="shared" si="22"/>
        <v>х</v>
      </c>
      <c r="AP22" s="4" t="str">
        <f t="shared" si="22"/>
        <v>х</v>
      </c>
      <c r="AQ22" s="4" t="str">
        <f t="shared" si="22"/>
        <v>х</v>
      </c>
      <c r="AR22" s="4" t="str">
        <f t="shared" si="22"/>
        <v>х</v>
      </c>
      <c r="AS22" s="4" t="str">
        <f t="shared" si="22"/>
        <v>х</v>
      </c>
      <c r="AT22" s="4" t="str">
        <f t="shared" si="22"/>
        <v>х</v>
      </c>
      <c r="AU22" s="4" t="str">
        <f t="shared" si="22"/>
        <v>х</v>
      </c>
      <c r="AV22" s="4" t="str">
        <f t="shared" si="13"/>
        <v>х</v>
      </c>
      <c r="AW22" s="4" t="str">
        <f t="shared" si="13"/>
        <v>х</v>
      </c>
      <c r="AX22" s="4" t="str">
        <f t="shared" si="13"/>
        <v>х</v>
      </c>
      <c r="AY22" s="4" t="str">
        <f t="shared" si="13"/>
        <v>х</v>
      </c>
      <c r="AZ22" s="4" t="str">
        <f t="shared" si="3"/>
        <v>х</v>
      </c>
      <c r="BA22" s="4" t="str">
        <f t="shared" si="3"/>
        <v>х</v>
      </c>
      <c r="BB22" s="4" t="str">
        <f t="shared" si="3"/>
        <v>х</v>
      </c>
      <c r="BC22" s="4" t="str">
        <f t="shared" si="11"/>
        <v>х</v>
      </c>
      <c r="BD22" s="4" t="str">
        <f t="shared" si="4"/>
        <v>х</v>
      </c>
      <c r="BE22" s="4" t="str">
        <f t="shared" si="4"/>
        <v>х</v>
      </c>
      <c r="BF22" s="4" t="str">
        <f t="shared" si="4"/>
        <v>х</v>
      </c>
      <c r="BG22" s="4" t="str">
        <f t="shared" si="17"/>
        <v>х</v>
      </c>
      <c r="BH22" s="4" t="str">
        <f t="shared" si="17"/>
        <v>х</v>
      </c>
      <c r="BI22" s="4" t="str">
        <f t="shared" si="21"/>
        <v>х</v>
      </c>
      <c r="BJ22" s="4" t="str">
        <f t="shared" si="18"/>
        <v>х</v>
      </c>
      <c r="BK22" s="4" t="str">
        <f t="shared" si="18"/>
        <v>х</v>
      </c>
      <c r="BL22" s="4" t="str">
        <f t="shared" si="18"/>
        <v>х</v>
      </c>
      <c r="BM22" s="4" t="str">
        <f t="shared" si="18"/>
        <v>х</v>
      </c>
      <c r="BN22" s="4" t="str">
        <f t="shared" si="18"/>
        <v>х</v>
      </c>
      <c r="BO22" s="4" t="str">
        <f t="shared" si="18"/>
        <v>х</v>
      </c>
      <c r="BP22" s="4" t="str">
        <f t="shared" si="18"/>
        <v>х</v>
      </c>
      <c r="BQ22" s="4" t="str">
        <f t="shared" si="18"/>
        <v>х</v>
      </c>
      <c r="BR22" s="4" t="str">
        <f>"1965"</f>
        <v>1965</v>
      </c>
      <c r="BS22" s="4" t="str">
        <f>"55,00"</f>
        <v>55,00</v>
      </c>
      <c r="BT22" s="4" t="str">
        <f>"2022-2024"</f>
        <v>2022-2024</v>
      </c>
      <c r="BU22" s="4" t="str">
        <f t="shared" si="5"/>
        <v>нет</v>
      </c>
      <c r="BV22" s="4" t="str">
        <f t="shared" si="6"/>
        <v>x</v>
      </c>
      <c r="BW22" s="4" t="str">
        <f t="shared" si="6"/>
        <v>x</v>
      </c>
      <c r="BX22" s="4" t="str">
        <f t="shared" si="6"/>
        <v>x</v>
      </c>
      <c r="BY22" s="4" t="str">
        <f t="shared" si="7"/>
        <v>нет</v>
      </c>
      <c r="BZ22" s="4" t="str">
        <f t="shared" si="8"/>
        <v>x</v>
      </c>
      <c r="CA22" s="4" t="str">
        <f t="shared" si="8"/>
        <v>x</v>
      </c>
      <c r="CB22" s="4" t="str">
        <f t="shared" si="8"/>
        <v>x</v>
      </c>
      <c r="CC22" s="4" t="str">
        <f>"1965"</f>
        <v>1965</v>
      </c>
      <c r="CD22" s="4" t="str">
        <f>"65,00"</f>
        <v>65,00</v>
      </c>
      <c r="CE22" s="4" t="str">
        <f>"2022-2024"</f>
        <v>2022-2024</v>
      </c>
      <c r="CF22" s="4" t="str">
        <f>"1965"</f>
        <v>1965</v>
      </c>
      <c r="CG22" s="4" t="str">
        <f>"60,00"</f>
        <v>60,00</v>
      </c>
      <c r="CH22" s="4" t="str">
        <f>"2022-2024"</f>
        <v>2022-2024</v>
      </c>
      <c r="CI22" s="4" t="str">
        <f>"58,00"</f>
        <v>58,00</v>
      </c>
      <c r="CJ22" s="4" t="str">
        <f>"2022-2024"</f>
        <v>2022-2024</v>
      </c>
    </row>
    <row r="23" spans="1:88" ht="11.25" customHeight="1">
      <c r="A23" s="45" t="str">
        <f>"24.10"</f>
        <v>24.10</v>
      </c>
      <c r="B23" s="46" t="str">
        <f>"г. Харовск, пер. Дорожный, д.3"</f>
        <v>г. Харовск, пер. Дорожный, д.3</v>
      </c>
      <c r="C23" s="6" t="str">
        <f>"1977"</f>
        <v>1977</v>
      </c>
      <c r="D23" s="4" t="str">
        <f>"1977"</f>
        <v>1977</v>
      </c>
      <c r="E23" s="4" t="str">
        <f>"50,00"</f>
        <v>50,00</v>
      </c>
      <c r="F23" s="4" t="str">
        <f>"2027-2029"</f>
        <v>2027-2029</v>
      </c>
      <c r="G23" s="4" t="str">
        <f t="shared" si="0"/>
        <v>нет</v>
      </c>
      <c r="H23" s="4" t="str">
        <f>""</f>
        <v/>
      </c>
      <c r="I23" s="4" t="str">
        <f>"0,00"</f>
        <v>0,00</v>
      </c>
      <c r="J23" s="4" t="str">
        <f>""</f>
        <v/>
      </c>
      <c r="K23" s="4" t="str">
        <f t="shared" si="1"/>
        <v>нет</v>
      </c>
      <c r="L23" s="4" t="str">
        <f>""</f>
        <v/>
      </c>
      <c r="M23" s="4" t="str">
        <f>""</f>
        <v/>
      </c>
      <c r="N23" s="4" t="str">
        <f>""</f>
        <v/>
      </c>
      <c r="O23" s="7" t="str">
        <f>"х"</f>
        <v>х</v>
      </c>
      <c r="P23" s="4" t="str">
        <f>"0,00"</f>
        <v>0,00</v>
      </c>
      <c r="Q23" s="4" t="str">
        <f t="shared" si="20"/>
        <v>х</v>
      </c>
      <c r="R23" s="4" t="str">
        <f t="shared" si="15"/>
        <v>х</v>
      </c>
      <c r="S23" s="4" t="str">
        <f t="shared" si="15"/>
        <v>х</v>
      </c>
      <c r="T23" s="4" t="str">
        <f t="shared" si="15"/>
        <v>х</v>
      </c>
      <c r="U23" s="4" t="str">
        <f t="shared" si="15"/>
        <v>х</v>
      </c>
      <c r="V23" s="4" t="str">
        <f t="shared" si="15"/>
        <v>х</v>
      </c>
      <c r="W23" s="4" t="str">
        <f t="shared" si="15"/>
        <v>х</v>
      </c>
      <c r="X23" s="4" t="str">
        <f t="shared" si="15"/>
        <v>х</v>
      </c>
      <c r="Y23" s="8" t="str">
        <f t="shared" si="15"/>
        <v>х</v>
      </c>
      <c r="Z23" s="4" t="str">
        <f t="shared" si="2"/>
        <v>х</v>
      </c>
      <c r="AA23" s="4" t="str">
        <f t="shared" si="2"/>
        <v>х</v>
      </c>
      <c r="AB23" s="4" t="str">
        <f t="shared" si="2"/>
        <v>х</v>
      </c>
      <c r="AC23" s="4" t="str">
        <f t="shared" si="2"/>
        <v>х</v>
      </c>
      <c r="AD23" s="4" t="str">
        <f t="shared" si="2"/>
        <v>х</v>
      </c>
      <c r="AE23" s="4" t="str">
        <f t="shared" si="2"/>
        <v>х</v>
      </c>
      <c r="AF23" s="4" t="str">
        <f t="shared" si="2"/>
        <v>х</v>
      </c>
      <c r="AG23" s="4" t="str">
        <f t="shared" si="2"/>
        <v>х</v>
      </c>
      <c r="AH23" s="4" t="str">
        <f t="shared" si="2"/>
        <v>х</v>
      </c>
      <c r="AI23" s="4" t="str">
        <f t="shared" si="2"/>
        <v>х</v>
      </c>
      <c r="AJ23" s="4" t="str">
        <f t="shared" si="2"/>
        <v>х</v>
      </c>
      <c r="AK23" s="7" t="str">
        <f>"1977"</f>
        <v>1977</v>
      </c>
      <c r="AL23" s="4" t="str">
        <f>"50,00"</f>
        <v>50,00</v>
      </c>
      <c r="AM23" s="4" t="str">
        <f>"2027-2029"</f>
        <v>2027-2029</v>
      </c>
      <c r="AN23" s="4" t="str">
        <f>"нет"</f>
        <v>нет</v>
      </c>
      <c r="AO23" s="4" t="str">
        <f>""</f>
        <v/>
      </c>
      <c r="AP23" s="4" t="str">
        <f>""</f>
        <v/>
      </c>
      <c r="AQ23" s="4" t="str">
        <f>""</f>
        <v/>
      </c>
      <c r="AR23" s="4" t="str">
        <f>"нет"</f>
        <v>нет</v>
      </c>
      <c r="AS23" s="4" t="str">
        <f>""</f>
        <v/>
      </c>
      <c r="AT23" s="4" t="str">
        <f>""</f>
        <v/>
      </c>
      <c r="AU23" s="4" t="str">
        <f>""</f>
        <v/>
      </c>
      <c r="AV23" s="4" t="str">
        <f t="shared" si="13"/>
        <v>х</v>
      </c>
      <c r="AW23" s="4" t="str">
        <f t="shared" si="13"/>
        <v>х</v>
      </c>
      <c r="AX23" s="4" t="str">
        <f t="shared" si="13"/>
        <v>х</v>
      </c>
      <c r="AY23" s="4" t="str">
        <f t="shared" si="13"/>
        <v>х</v>
      </c>
      <c r="AZ23" s="4" t="str">
        <f t="shared" si="3"/>
        <v>х</v>
      </c>
      <c r="BA23" s="4" t="str">
        <f t="shared" si="3"/>
        <v>х</v>
      </c>
      <c r="BB23" s="4" t="str">
        <f t="shared" si="3"/>
        <v>х</v>
      </c>
      <c r="BC23" s="4" t="str">
        <f t="shared" si="11"/>
        <v>х</v>
      </c>
      <c r="BD23" s="4" t="str">
        <f t="shared" si="4"/>
        <v>х</v>
      </c>
      <c r="BE23" s="4" t="str">
        <f t="shared" si="4"/>
        <v>х</v>
      </c>
      <c r="BF23" s="4" t="str">
        <f t="shared" si="4"/>
        <v>х</v>
      </c>
      <c r="BG23" s="4" t="str">
        <f t="shared" si="17"/>
        <v>х</v>
      </c>
      <c r="BH23" s="4" t="str">
        <f t="shared" si="17"/>
        <v>х</v>
      </c>
      <c r="BI23" s="4" t="str">
        <f t="shared" si="21"/>
        <v>х</v>
      </c>
      <c r="BJ23" s="4" t="str">
        <f t="shared" si="18"/>
        <v>х</v>
      </c>
      <c r="BK23" s="4" t="str">
        <f t="shared" si="18"/>
        <v>х</v>
      </c>
      <c r="BL23" s="4" t="str">
        <f t="shared" si="18"/>
        <v>х</v>
      </c>
      <c r="BM23" s="4" t="str">
        <f t="shared" si="18"/>
        <v>х</v>
      </c>
      <c r="BN23" s="4" t="str">
        <f t="shared" si="18"/>
        <v>х</v>
      </c>
      <c r="BO23" s="4" t="str">
        <f t="shared" si="18"/>
        <v>х</v>
      </c>
      <c r="BP23" s="4" t="str">
        <f t="shared" si="18"/>
        <v>х</v>
      </c>
      <c r="BQ23" s="4" t="str">
        <f t="shared" si="18"/>
        <v>х</v>
      </c>
      <c r="BR23" s="4" t="str">
        <f>"1977"</f>
        <v>1977</v>
      </c>
      <c r="BS23" s="4" t="str">
        <f>"55,00"</f>
        <v>55,00</v>
      </c>
      <c r="BT23" s="4" t="str">
        <f>"2027-2029"</f>
        <v>2027-2029</v>
      </c>
      <c r="BU23" s="4" t="str">
        <f t="shared" si="5"/>
        <v>нет</v>
      </c>
      <c r="BV23" s="4" t="str">
        <f t="shared" si="6"/>
        <v>x</v>
      </c>
      <c r="BW23" s="4" t="str">
        <f t="shared" si="6"/>
        <v>x</v>
      </c>
      <c r="BX23" s="4" t="str">
        <f t="shared" si="6"/>
        <v>x</v>
      </c>
      <c r="BY23" s="4" t="str">
        <f t="shared" si="7"/>
        <v>нет</v>
      </c>
      <c r="BZ23" s="4" t="str">
        <f t="shared" si="8"/>
        <v>x</v>
      </c>
      <c r="CA23" s="4" t="str">
        <f t="shared" si="8"/>
        <v>x</v>
      </c>
      <c r="CB23" s="4" t="str">
        <f t="shared" si="8"/>
        <v>x</v>
      </c>
      <c r="CC23" s="4" t="str">
        <f>"1977"</f>
        <v>1977</v>
      </c>
      <c r="CD23" s="4" t="str">
        <f>"55,00"</f>
        <v>55,00</v>
      </c>
      <c r="CE23" s="4" t="str">
        <f>"2027-2029"</f>
        <v>2027-2029</v>
      </c>
      <c r="CF23" s="4" t="str">
        <f>"1977"</f>
        <v>1977</v>
      </c>
      <c r="CG23" s="4" t="str">
        <f>"45,00"</f>
        <v>45,00</v>
      </c>
      <c r="CH23" s="4" t="str">
        <f>"2027-2029"</f>
        <v>2027-2029</v>
      </c>
      <c r="CI23" s="4" t="str">
        <f>"50,00"</f>
        <v>50,00</v>
      </c>
      <c r="CJ23" s="4" t="str">
        <f>"2027-2029"</f>
        <v>2027-2029</v>
      </c>
    </row>
    <row r="24" spans="1:88" ht="11.25" customHeight="1">
      <c r="A24" s="45" t="str">
        <f>"24.11"</f>
        <v>24.11</v>
      </c>
      <c r="B24" s="46" t="str">
        <f>"г. Харовск, пер. Дорожный, д.5"</f>
        <v>г. Харовск, пер. Дорожный, д.5</v>
      </c>
      <c r="C24" s="6" t="str">
        <f>"1979"</f>
        <v>1979</v>
      </c>
      <c r="D24" s="4" t="str">
        <f>"1979"</f>
        <v>1979</v>
      </c>
      <c r="E24" s="4" t="str">
        <f>"45,00"</f>
        <v>45,00</v>
      </c>
      <c r="F24" s="4" t="str">
        <f>"2028-2030"</f>
        <v>2028-2030</v>
      </c>
      <c r="G24" s="4" t="str">
        <f t="shared" si="0"/>
        <v>нет</v>
      </c>
      <c r="H24" s="4" t="str">
        <f>""</f>
        <v/>
      </c>
      <c r="I24" s="4" t="str">
        <f>""</f>
        <v/>
      </c>
      <c r="J24" s="4" t="str">
        <f>""</f>
        <v/>
      </c>
      <c r="K24" s="4" t="str">
        <f t="shared" si="1"/>
        <v>нет</v>
      </c>
      <c r="L24" s="4" t="str">
        <f>""</f>
        <v/>
      </c>
      <c r="M24" s="4" t="str">
        <f>""</f>
        <v/>
      </c>
      <c r="N24" s="4" t="str">
        <f>""</f>
        <v/>
      </c>
      <c r="O24" s="7" t="str">
        <f>"х"</f>
        <v>х</v>
      </c>
      <c r="P24" s="4" t="str">
        <f>"х"</f>
        <v>х</v>
      </c>
      <c r="Q24" s="4" t="str">
        <f t="shared" si="20"/>
        <v>х</v>
      </c>
      <c r="R24" s="4" t="str">
        <f t="shared" si="15"/>
        <v>х</v>
      </c>
      <c r="S24" s="4" t="str">
        <f t="shared" si="15"/>
        <v>х</v>
      </c>
      <c r="T24" s="4" t="str">
        <f t="shared" si="15"/>
        <v>х</v>
      </c>
      <c r="U24" s="4" t="str">
        <f t="shared" si="15"/>
        <v>х</v>
      </c>
      <c r="V24" s="4" t="str">
        <f t="shared" si="15"/>
        <v>х</v>
      </c>
      <c r="W24" s="4" t="str">
        <f t="shared" si="15"/>
        <v>х</v>
      </c>
      <c r="X24" s="4" t="str">
        <f t="shared" si="15"/>
        <v>х</v>
      </c>
      <c r="Y24" s="8" t="str">
        <f t="shared" si="15"/>
        <v>х</v>
      </c>
      <c r="Z24" s="4" t="str">
        <f t="shared" ref="Z24:AJ33" si="23">"х"</f>
        <v>х</v>
      </c>
      <c r="AA24" s="4" t="str">
        <f t="shared" si="23"/>
        <v>х</v>
      </c>
      <c r="AB24" s="4" t="str">
        <f t="shared" si="23"/>
        <v>х</v>
      </c>
      <c r="AC24" s="4" t="str">
        <f t="shared" si="23"/>
        <v>х</v>
      </c>
      <c r="AD24" s="4" t="str">
        <f t="shared" si="23"/>
        <v>х</v>
      </c>
      <c r="AE24" s="4" t="str">
        <f t="shared" si="23"/>
        <v>х</v>
      </c>
      <c r="AF24" s="4" t="str">
        <f t="shared" si="23"/>
        <v>х</v>
      </c>
      <c r="AG24" s="4" t="str">
        <f t="shared" si="23"/>
        <v>х</v>
      </c>
      <c r="AH24" s="4" t="str">
        <f t="shared" si="23"/>
        <v>х</v>
      </c>
      <c r="AI24" s="4" t="str">
        <f t="shared" si="23"/>
        <v>х</v>
      </c>
      <c r="AJ24" s="4" t="str">
        <f t="shared" si="23"/>
        <v>х</v>
      </c>
      <c r="AK24" s="7" t="str">
        <f>"1979"</f>
        <v>1979</v>
      </c>
      <c r="AL24" s="4" t="str">
        <f>"45,00"</f>
        <v>45,00</v>
      </c>
      <c r="AM24" s="4" t="str">
        <f>"2028-2030"</f>
        <v>2028-2030</v>
      </c>
      <c r="AN24" s="4" t="str">
        <f>"нет"</f>
        <v>нет</v>
      </c>
      <c r="AO24" s="4" t="str">
        <f>""</f>
        <v/>
      </c>
      <c r="AP24" s="4" t="str">
        <f>""</f>
        <v/>
      </c>
      <c r="AQ24" s="4" t="str">
        <f>""</f>
        <v/>
      </c>
      <c r="AR24" s="4" t="str">
        <f>"нет"</f>
        <v>нет</v>
      </c>
      <c r="AS24" s="4" t="str">
        <f>""</f>
        <v/>
      </c>
      <c r="AT24" s="4" t="str">
        <f>""</f>
        <v/>
      </c>
      <c r="AU24" s="4" t="str">
        <f>""</f>
        <v/>
      </c>
      <c r="AV24" s="4" t="str">
        <f t="shared" si="13"/>
        <v>х</v>
      </c>
      <c r="AW24" s="4" t="str">
        <f t="shared" si="13"/>
        <v>х</v>
      </c>
      <c r="AX24" s="4" t="str">
        <f t="shared" si="13"/>
        <v>х</v>
      </c>
      <c r="AY24" s="4" t="str">
        <f t="shared" si="13"/>
        <v>х</v>
      </c>
      <c r="AZ24" s="4" t="str">
        <f t="shared" si="3"/>
        <v>х</v>
      </c>
      <c r="BA24" s="4" t="str">
        <f t="shared" si="3"/>
        <v>х</v>
      </c>
      <c r="BB24" s="4" t="str">
        <f t="shared" si="3"/>
        <v>х</v>
      </c>
      <c r="BC24" s="4" t="str">
        <f t="shared" si="11"/>
        <v>х</v>
      </c>
      <c r="BD24" s="4" t="str">
        <f t="shared" si="4"/>
        <v>х</v>
      </c>
      <c r="BE24" s="4" t="str">
        <f t="shared" si="4"/>
        <v>х</v>
      </c>
      <c r="BF24" s="4" t="str">
        <f t="shared" si="4"/>
        <v>х</v>
      </c>
      <c r="BG24" s="4" t="str">
        <f t="shared" si="17"/>
        <v>х</v>
      </c>
      <c r="BH24" s="4" t="str">
        <f t="shared" si="17"/>
        <v>х</v>
      </c>
      <c r="BI24" s="4" t="str">
        <f t="shared" si="21"/>
        <v>х</v>
      </c>
      <c r="BJ24" s="4" t="str">
        <f t="shared" si="18"/>
        <v>х</v>
      </c>
      <c r="BK24" s="4" t="str">
        <f t="shared" si="18"/>
        <v>х</v>
      </c>
      <c r="BL24" s="4" t="str">
        <f t="shared" si="18"/>
        <v>х</v>
      </c>
      <c r="BM24" s="4" t="str">
        <f t="shared" si="18"/>
        <v>х</v>
      </c>
      <c r="BN24" s="4" t="str">
        <f t="shared" si="18"/>
        <v>х</v>
      </c>
      <c r="BO24" s="4" t="str">
        <f t="shared" si="18"/>
        <v>х</v>
      </c>
      <c r="BP24" s="4" t="str">
        <f t="shared" si="18"/>
        <v>х</v>
      </c>
      <c r="BQ24" s="4" t="str">
        <f t="shared" si="18"/>
        <v>х</v>
      </c>
      <c r="BR24" s="4" t="str">
        <f>"1979"</f>
        <v>1979</v>
      </c>
      <c r="BS24" s="4" t="str">
        <f>"40,00"</f>
        <v>40,00</v>
      </c>
      <c r="BT24" s="4" t="str">
        <f>"2028-2030"</f>
        <v>2028-2030</v>
      </c>
      <c r="BU24" s="4" t="str">
        <f t="shared" si="5"/>
        <v>нет</v>
      </c>
      <c r="BV24" s="4" t="str">
        <f t="shared" si="6"/>
        <v>x</v>
      </c>
      <c r="BW24" s="4" t="str">
        <f t="shared" si="6"/>
        <v>x</v>
      </c>
      <c r="BX24" s="4" t="str">
        <f t="shared" si="6"/>
        <v>x</v>
      </c>
      <c r="BY24" s="4" t="str">
        <f t="shared" si="7"/>
        <v>нет</v>
      </c>
      <c r="BZ24" s="4" t="str">
        <f t="shared" si="8"/>
        <v>x</v>
      </c>
      <c r="CA24" s="4" t="str">
        <f t="shared" si="8"/>
        <v>x</v>
      </c>
      <c r="CB24" s="4" t="str">
        <f t="shared" si="8"/>
        <v>x</v>
      </c>
      <c r="CC24" s="4" t="str">
        <f>"1979"</f>
        <v>1979</v>
      </c>
      <c r="CD24" s="4" t="str">
        <f>"50,00"</f>
        <v>50,00</v>
      </c>
      <c r="CE24" s="4" t="str">
        <f>"2028-2030"</f>
        <v>2028-2030</v>
      </c>
      <c r="CF24" s="4" t="str">
        <f>"1979"</f>
        <v>1979</v>
      </c>
      <c r="CG24" s="4" t="str">
        <f>"40,00"</f>
        <v>40,00</v>
      </c>
      <c r="CH24" s="4" t="str">
        <f>"2028-2030"</f>
        <v>2028-2030</v>
      </c>
      <c r="CI24" s="4" t="str">
        <f>"47,00"</f>
        <v>47,00</v>
      </c>
      <c r="CJ24" s="4" t="str">
        <f>"2028-2030"</f>
        <v>2028-2030</v>
      </c>
    </row>
    <row r="25" spans="1:88" ht="11.25" customHeight="1">
      <c r="A25" s="45" t="str">
        <f>"24.12"</f>
        <v>24.12</v>
      </c>
      <c r="B25" s="46" t="str">
        <f>"г. Харовск, пер. Дорожный, д.7"</f>
        <v>г. Харовск, пер. Дорожный, д.7</v>
      </c>
      <c r="C25" s="6" t="str">
        <f>"1981"</f>
        <v>1981</v>
      </c>
      <c r="D25" s="4" t="str">
        <f>"1981"</f>
        <v>1981</v>
      </c>
      <c r="E25" s="4" t="str">
        <f>"40,00"</f>
        <v>40,00</v>
      </c>
      <c r="F25" s="4" t="str">
        <f>"2028-2030"</f>
        <v>2028-2030</v>
      </c>
      <c r="G25" s="4" t="str">
        <f t="shared" si="0"/>
        <v>нет</v>
      </c>
      <c r="H25" s="4" t="str">
        <f>""</f>
        <v/>
      </c>
      <c r="I25" s="4" t="str">
        <f>""</f>
        <v/>
      </c>
      <c r="J25" s="4" t="str">
        <f>""</f>
        <v/>
      </c>
      <c r="K25" s="4" t="str">
        <f t="shared" si="1"/>
        <v>нет</v>
      </c>
      <c r="L25" s="4" t="str">
        <f>""</f>
        <v/>
      </c>
      <c r="M25" s="4" t="str">
        <f>""</f>
        <v/>
      </c>
      <c r="N25" s="4" t="str">
        <f>""</f>
        <v/>
      </c>
      <c r="O25" s="7" t="str">
        <f>"х"</f>
        <v>х</v>
      </c>
      <c r="P25" s="4" t="str">
        <f>"х"</f>
        <v>х</v>
      </c>
      <c r="Q25" s="4" t="str">
        <f t="shared" si="20"/>
        <v>х</v>
      </c>
      <c r="R25" s="4" t="str">
        <f t="shared" si="15"/>
        <v>х</v>
      </c>
      <c r="S25" s="4" t="str">
        <f t="shared" si="15"/>
        <v>х</v>
      </c>
      <c r="T25" s="4" t="str">
        <f t="shared" si="15"/>
        <v>х</v>
      </c>
      <c r="U25" s="4" t="str">
        <f t="shared" si="15"/>
        <v>х</v>
      </c>
      <c r="V25" s="4" t="str">
        <f t="shared" si="15"/>
        <v>х</v>
      </c>
      <c r="W25" s="4" t="str">
        <f t="shared" si="15"/>
        <v>х</v>
      </c>
      <c r="X25" s="4" t="str">
        <f t="shared" si="15"/>
        <v>х</v>
      </c>
      <c r="Y25" s="8" t="str">
        <f t="shared" si="15"/>
        <v>х</v>
      </c>
      <c r="Z25" s="4" t="str">
        <f t="shared" si="23"/>
        <v>х</v>
      </c>
      <c r="AA25" s="4" t="str">
        <f t="shared" si="23"/>
        <v>х</v>
      </c>
      <c r="AB25" s="4" t="str">
        <f t="shared" si="23"/>
        <v>х</v>
      </c>
      <c r="AC25" s="4" t="str">
        <f t="shared" si="23"/>
        <v>х</v>
      </c>
      <c r="AD25" s="4" t="str">
        <f t="shared" si="23"/>
        <v>х</v>
      </c>
      <c r="AE25" s="4" t="str">
        <f t="shared" si="23"/>
        <v>х</v>
      </c>
      <c r="AF25" s="4" t="str">
        <f t="shared" si="23"/>
        <v>х</v>
      </c>
      <c r="AG25" s="4" t="str">
        <f t="shared" si="23"/>
        <v>х</v>
      </c>
      <c r="AH25" s="4" t="str">
        <f t="shared" si="23"/>
        <v>х</v>
      </c>
      <c r="AI25" s="4" t="str">
        <f t="shared" si="23"/>
        <v>х</v>
      </c>
      <c r="AJ25" s="4" t="str">
        <f t="shared" si="23"/>
        <v>х</v>
      </c>
      <c r="AK25" s="7" t="str">
        <f>"1981"</f>
        <v>1981</v>
      </c>
      <c r="AL25" s="4" t="str">
        <f>"40,00"</f>
        <v>40,00</v>
      </c>
      <c r="AM25" s="4" t="str">
        <f>"2028-2030"</f>
        <v>2028-2030</v>
      </c>
      <c r="AN25" s="4" t="str">
        <f>"нет"</f>
        <v>нет</v>
      </c>
      <c r="AO25" s="4" t="str">
        <f>""</f>
        <v/>
      </c>
      <c r="AP25" s="4" t="str">
        <f>""</f>
        <v/>
      </c>
      <c r="AQ25" s="4" t="str">
        <f>""</f>
        <v/>
      </c>
      <c r="AR25" s="4" t="str">
        <f>"нет"</f>
        <v>нет</v>
      </c>
      <c r="AS25" s="4" t="str">
        <f>""</f>
        <v/>
      </c>
      <c r="AT25" s="4" t="str">
        <f>""</f>
        <v/>
      </c>
      <c r="AU25" s="4" t="str">
        <f>""</f>
        <v/>
      </c>
      <c r="AV25" s="4" t="str">
        <f t="shared" si="13"/>
        <v>х</v>
      </c>
      <c r="AW25" s="4" t="str">
        <f t="shared" si="13"/>
        <v>х</v>
      </c>
      <c r="AX25" s="4" t="str">
        <f t="shared" si="13"/>
        <v>х</v>
      </c>
      <c r="AY25" s="4" t="str">
        <f t="shared" si="13"/>
        <v>х</v>
      </c>
      <c r="AZ25" s="4" t="str">
        <f t="shared" si="3"/>
        <v>х</v>
      </c>
      <c r="BA25" s="4" t="str">
        <f t="shared" si="3"/>
        <v>х</v>
      </c>
      <c r="BB25" s="4" t="str">
        <f t="shared" si="3"/>
        <v>х</v>
      </c>
      <c r="BC25" s="4" t="str">
        <f t="shared" si="11"/>
        <v>х</v>
      </c>
      <c r="BD25" s="4" t="str">
        <f t="shared" si="4"/>
        <v>х</v>
      </c>
      <c r="BE25" s="4" t="str">
        <f t="shared" si="4"/>
        <v>х</v>
      </c>
      <c r="BF25" s="4" t="str">
        <f t="shared" si="4"/>
        <v>х</v>
      </c>
      <c r="BG25" s="4" t="str">
        <f t="shared" si="17"/>
        <v>х</v>
      </c>
      <c r="BH25" s="4" t="str">
        <f t="shared" si="17"/>
        <v>х</v>
      </c>
      <c r="BI25" s="4" t="str">
        <f t="shared" si="21"/>
        <v>х</v>
      </c>
      <c r="BJ25" s="4" t="str">
        <f t="shared" si="18"/>
        <v>х</v>
      </c>
      <c r="BK25" s="4" t="str">
        <f t="shared" si="18"/>
        <v>х</v>
      </c>
      <c r="BL25" s="4" t="str">
        <f t="shared" si="18"/>
        <v>х</v>
      </c>
      <c r="BM25" s="4" t="str">
        <f t="shared" si="18"/>
        <v>х</v>
      </c>
      <c r="BN25" s="4" t="str">
        <f t="shared" si="18"/>
        <v>х</v>
      </c>
      <c r="BO25" s="4" t="str">
        <f t="shared" si="18"/>
        <v>х</v>
      </c>
      <c r="BP25" s="4" t="str">
        <f t="shared" si="18"/>
        <v>х</v>
      </c>
      <c r="BQ25" s="4" t="str">
        <f t="shared" si="18"/>
        <v>х</v>
      </c>
      <c r="BR25" s="4" t="str">
        <f>"1981"</f>
        <v>1981</v>
      </c>
      <c r="BS25" s="4" t="str">
        <f>"40,00"</f>
        <v>40,00</v>
      </c>
      <c r="BT25" s="4" t="str">
        <f>"2028-2030"</f>
        <v>2028-2030</v>
      </c>
      <c r="BU25" s="4" t="str">
        <f t="shared" si="5"/>
        <v>нет</v>
      </c>
      <c r="BV25" s="4" t="str">
        <f t="shared" si="6"/>
        <v>x</v>
      </c>
      <c r="BW25" s="4" t="str">
        <f t="shared" si="6"/>
        <v>x</v>
      </c>
      <c r="BX25" s="4" t="str">
        <f t="shared" si="6"/>
        <v>x</v>
      </c>
      <c r="BY25" s="4" t="str">
        <f t="shared" si="7"/>
        <v>нет</v>
      </c>
      <c r="BZ25" s="4" t="str">
        <f t="shared" si="8"/>
        <v>x</v>
      </c>
      <c r="CA25" s="4" t="str">
        <f t="shared" si="8"/>
        <v>x</v>
      </c>
      <c r="CB25" s="4" t="str">
        <f t="shared" si="8"/>
        <v>x</v>
      </c>
      <c r="CC25" s="4" t="str">
        <f>"1981"</f>
        <v>1981</v>
      </c>
      <c r="CD25" s="4" t="str">
        <f>"50,00"</f>
        <v>50,00</v>
      </c>
      <c r="CE25" s="4" t="str">
        <f>"2028-2030"</f>
        <v>2028-2030</v>
      </c>
      <c r="CF25" s="4" t="str">
        <f>"1981"</f>
        <v>1981</v>
      </c>
      <c r="CG25" s="4" t="str">
        <f>"35,00"</f>
        <v>35,00</v>
      </c>
      <c r="CH25" s="4" t="str">
        <f>"2028-2030"</f>
        <v>2028-2030</v>
      </c>
      <c r="CI25" s="4" t="str">
        <f>"45,00"</f>
        <v>45,00</v>
      </c>
      <c r="CJ25" s="4" t="str">
        <f>"2028-2030"</f>
        <v>2028-2030</v>
      </c>
    </row>
    <row r="26" spans="1:88" ht="11.25" customHeight="1">
      <c r="A26" s="45" t="str">
        <f>"24.13"</f>
        <v>24.13</v>
      </c>
      <c r="B26" s="46" t="str">
        <f>"г. Харовск, пер. Заводской, д.1"</f>
        <v>г. Харовск, пер. Заводской, д.1</v>
      </c>
      <c r="C26" s="6" t="str">
        <f>"1961"</f>
        <v>1961</v>
      </c>
      <c r="D26" s="4" t="str">
        <f>"1961"</f>
        <v>1961</v>
      </c>
      <c r="E26" s="4" t="str">
        <f>"55,00"</f>
        <v>55,00</v>
      </c>
      <c r="F26" s="4" t="str">
        <f>"2033-2035"</f>
        <v>2033-2035</v>
      </c>
      <c r="G26" s="4" t="str">
        <f t="shared" si="0"/>
        <v>нет</v>
      </c>
      <c r="H26" s="4" t="str">
        <f>""</f>
        <v/>
      </c>
      <c r="I26" s="4" t="str">
        <f>""</f>
        <v/>
      </c>
      <c r="J26" s="4" t="str">
        <f>""</f>
        <v/>
      </c>
      <c r="K26" s="4" t="str">
        <f t="shared" si="1"/>
        <v>нет</v>
      </c>
      <c r="L26" s="4" t="str">
        <f>""</f>
        <v/>
      </c>
      <c r="M26" s="4" t="str">
        <f>""</f>
        <v/>
      </c>
      <c r="N26" s="4" t="str">
        <f>""</f>
        <v/>
      </c>
      <c r="O26" s="7" t="str">
        <f>"х"</f>
        <v>х</v>
      </c>
      <c r="P26" s="4" t="str">
        <f>"х"</f>
        <v>х</v>
      </c>
      <c r="Q26" s="4" t="str">
        <f t="shared" si="20"/>
        <v>х</v>
      </c>
      <c r="R26" s="4" t="str">
        <f t="shared" si="15"/>
        <v>х</v>
      </c>
      <c r="S26" s="4" t="str">
        <f t="shared" si="15"/>
        <v>х</v>
      </c>
      <c r="T26" s="4" t="str">
        <f t="shared" si="15"/>
        <v>х</v>
      </c>
      <c r="U26" s="4" t="str">
        <f t="shared" si="15"/>
        <v>х</v>
      </c>
      <c r="V26" s="4" t="str">
        <f t="shared" si="15"/>
        <v>х</v>
      </c>
      <c r="W26" s="4" t="str">
        <f t="shared" si="15"/>
        <v>х</v>
      </c>
      <c r="X26" s="4" t="str">
        <f t="shared" si="15"/>
        <v>х</v>
      </c>
      <c r="Y26" s="8" t="str">
        <f t="shared" si="15"/>
        <v>х</v>
      </c>
      <c r="Z26" s="4" t="str">
        <f t="shared" si="23"/>
        <v>х</v>
      </c>
      <c r="AA26" s="4" t="str">
        <f t="shared" si="23"/>
        <v>х</v>
      </c>
      <c r="AB26" s="4" t="str">
        <f t="shared" si="23"/>
        <v>х</v>
      </c>
      <c r="AC26" s="4" t="str">
        <f t="shared" si="23"/>
        <v>х</v>
      </c>
      <c r="AD26" s="4" t="str">
        <f t="shared" si="23"/>
        <v>х</v>
      </c>
      <c r="AE26" s="4" t="str">
        <f t="shared" si="23"/>
        <v>х</v>
      </c>
      <c r="AF26" s="4" t="str">
        <f t="shared" si="23"/>
        <v>х</v>
      </c>
      <c r="AG26" s="4" t="str">
        <f t="shared" si="23"/>
        <v>х</v>
      </c>
      <c r="AH26" s="4" t="str">
        <f t="shared" si="23"/>
        <v>х</v>
      </c>
      <c r="AI26" s="4" t="str">
        <f t="shared" si="23"/>
        <v>х</v>
      </c>
      <c r="AJ26" s="4" t="str">
        <f t="shared" si="23"/>
        <v>х</v>
      </c>
      <c r="AK26" s="7" t="str">
        <f>"2013"</f>
        <v>2013</v>
      </c>
      <c r="AL26" s="4" t="str">
        <f>"0,00"</f>
        <v>0,00</v>
      </c>
      <c r="AM26" s="4" t="str">
        <f>"2033-2035"</f>
        <v>2033-2035</v>
      </c>
      <c r="AN26" s="4" t="str">
        <f>"да"</f>
        <v>да</v>
      </c>
      <c r="AO26" s="4" t="str">
        <f>"2013"</f>
        <v>2013</v>
      </c>
      <c r="AP26" s="4" t="str">
        <f>"0,00"</f>
        <v>0,00</v>
      </c>
      <c r="AQ26" s="4" t="str">
        <f>"2033-2035"</f>
        <v>2033-2035</v>
      </c>
      <c r="AR26" s="4" t="str">
        <f>"нет"</f>
        <v>нет</v>
      </c>
      <c r="AS26" s="4" t="str">
        <f>""</f>
        <v/>
      </c>
      <c r="AT26" s="4" t="str">
        <f>""</f>
        <v/>
      </c>
      <c r="AU26" s="4" t="str">
        <f>""</f>
        <v/>
      </c>
      <c r="AV26" s="4" t="str">
        <f t="shared" si="13"/>
        <v>х</v>
      </c>
      <c r="AW26" s="4" t="str">
        <f t="shared" si="13"/>
        <v>х</v>
      </c>
      <c r="AX26" s="4" t="str">
        <f t="shared" si="13"/>
        <v>х</v>
      </c>
      <c r="AY26" s="4" t="str">
        <f t="shared" si="13"/>
        <v>х</v>
      </c>
      <c r="AZ26" s="4" t="str">
        <f t="shared" si="3"/>
        <v>х</v>
      </c>
      <c r="BA26" s="4" t="str">
        <f t="shared" si="3"/>
        <v>х</v>
      </c>
      <c r="BB26" s="4" t="str">
        <f t="shared" si="3"/>
        <v>х</v>
      </c>
      <c r="BC26" s="4" t="str">
        <f t="shared" si="11"/>
        <v>х</v>
      </c>
      <c r="BD26" s="4" t="str">
        <f t="shared" si="4"/>
        <v>х</v>
      </c>
      <c r="BE26" s="4" t="str">
        <f t="shared" si="4"/>
        <v>х</v>
      </c>
      <c r="BF26" s="4" t="str">
        <f t="shared" si="4"/>
        <v>х</v>
      </c>
      <c r="BG26" s="4" t="str">
        <f t="shared" si="17"/>
        <v>х</v>
      </c>
      <c r="BH26" s="4" t="str">
        <f t="shared" si="17"/>
        <v>х</v>
      </c>
      <c r="BI26" s="4" t="str">
        <f t="shared" si="21"/>
        <v>х</v>
      </c>
      <c r="BJ26" s="4" t="str">
        <f t="shared" si="18"/>
        <v>х</v>
      </c>
      <c r="BK26" s="4" t="str">
        <f t="shared" si="18"/>
        <v>х</v>
      </c>
      <c r="BL26" s="4" t="str">
        <f t="shared" si="18"/>
        <v>х</v>
      </c>
      <c r="BM26" s="4" t="str">
        <f t="shared" si="18"/>
        <v>х</v>
      </c>
      <c r="BN26" s="4" t="str">
        <f t="shared" si="18"/>
        <v>х</v>
      </c>
      <c r="BO26" s="4" t="str">
        <f t="shared" si="18"/>
        <v>х</v>
      </c>
      <c r="BP26" s="4" t="str">
        <f t="shared" si="18"/>
        <v>х</v>
      </c>
      <c r="BQ26" s="4" t="str">
        <f t="shared" si="18"/>
        <v>х</v>
      </c>
      <c r="BR26" s="4" t="str">
        <f>"1961"</f>
        <v>1961</v>
      </c>
      <c r="BS26" s="4" t="str">
        <f>"60,00"</f>
        <v>60,00</v>
      </c>
      <c r="BT26" s="4" t="str">
        <f>"2020-2022"</f>
        <v>2020-2022</v>
      </c>
      <c r="BU26" s="4" t="str">
        <f t="shared" si="5"/>
        <v>нет</v>
      </c>
      <c r="BV26" s="4" t="str">
        <f t="shared" si="6"/>
        <v>x</v>
      </c>
      <c r="BW26" s="4" t="str">
        <f t="shared" si="6"/>
        <v>x</v>
      </c>
      <c r="BX26" s="4" t="str">
        <f t="shared" si="6"/>
        <v>x</v>
      </c>
      <c r="BY26" s="4" t="str">
        <f t="shared" si="7"/>
        <v>нет</v>
      </c>
      <c r="BZ26" s="4" t="str">
        <f t="shared" si="8"/>
        <v>x</v>
      </c>
      <c r="CA26" s="4" t="str">
        <f t="shared" si="8"/>
        <v>x</v>
      </c>
      <c r="CB26" s="4" t="str">
        <f t="shared" si="8"/>
        <v>x</v>
      </c>
      <c r="CC26" s="4" t="str">
        <f>"1961"</f>
        <v>1961</v>
      </c>
      <c r="CD26" s="4" t="str">
        <f>"40,00"</f>
        <v>40,00</v>
      </c>
      <c r="CE26" s="4" t="str">
        <f>"2020-2022"</f>
        <v>2020-2022</v>
      </c>
      <c r="CF26" s="4" t="str">
        <f>"1961"</f>
        <v>1961</v>
      </c>
      <c r="CG26" s="4" t="str">
        <f>"55,00"</f>
        <v>55,00</v>
      </c>
      <c r="CH26" s="4" t="str">
        <f>"2020-2022"</f>
        <v>2020-2022</v>
      </c>
      <c r="CI26" s="4" t="str">
        <f>"57,00"</f>
        <v>57,00</v>
      </c>
      <c r="CJ26" s="4" t="str">
        <f>"2020-2022"</f>
        <v>2020-2022</v>
      </c>
    </row>
    <row r="27" spans="1:88" ht="11.25" customHeight="1">
      <c r="A27" s="45" t="str">
        <f>"24.14"</f>
        <v>24.14</v>
      </c>
      <c r="B27" s="46" t="str">
        <f>"г. Харовск, пер. Заводской, д.1А"</f>
        <v>г. Харовск, пер. Заводской, д.1А</v>
      </c>
      <c r="C27" s="6" t="str">
        <f>"1972"</f>
        <v>1972</v>
      </c>
      <c r="D27" s="4" t="str">
        <f>"1972"</f>
        <v>1972</v>
      </c>
      <c r="E27" s="4" t="str">
        <f>"45,00"</f>
        <v>45,00</v>
      </c>
      <c r="F27" s="4" t="str">
        <f>"2025-2027"</f>
        <v>2025-2027</v>
      </c>
      <c r="G27" s="4" t="str">
        <f t="shared" si="0"/>
        <v>нет</v>
      </c>
      <c r="H27" s="4" t="str">
        <f>""</f>
        <v/>
      </c>
      <c r="I27" s="4" t="str">
        <f>""</f>
        <v/>
      </c>
      <c r="J27" s="4" t="str">
        <f>""</f>
        <v/>
      </c>
      <c r="K27" s="4" t="str">
        <f t="shared" si="1"/>
        <v>нет</v>
      </c>
      <c r="L27" s="4" t="str">
        <f>""</f>
        <v/>
      </c>
      <c r="M27" s="4" t="str">
        <f>""</f>
        <v/>
      </c>
      <c r="N27" s="4" t="str">
        <f>""</f>
        <v/>
      </c>
      <c r="O27" s="7" t="str">
        <f>"1972"</f>
        <v>1972</v>
      </c>
      <c r="P27" s="4" t="str">
        <f>"45,00"</f>
        <v>45,00</v>
      </c>
      <c r="Q27" s="4" t="str">
        <f>"2025-2027"</f>
        <v>2025-2027</v>
      </c>
      <c r="R27" s="4" t="str">
        <f>"нет"</f>
        <v>нет</v>
      </c>
      <c r="S27" s="4" t="str">
        <f>""</f>
        <v/>
      </c>
      <c r="T27" s="4" t="str">
        <f>""</f>
        <v/>
      </c>
      <c r="U27" s="4" t="str">
        <f>""</f>
        <v/>
      </c>
      <c r="V27" s="4" t="str">
        <f>"нет"</f>
        <v>нет</v>
      </c>
      <c r="W27" s="4" t="str">
        <f>""</f>
        <v/>
      </c>
      <c r="X27" s="4" t="str">
        <f>""</f>
        <v/>
      </c>
      <c r="Y27" s="8" t="str">
        <f>""</f>
        <v/>
      </c>
      <c r="Z27" s="4" t="str">
        <f t="shared" si="23"/>
        <v>х</v>
      </c>
      <c r="AA27" s="4" t="str">
        <f t="shared" si="23"/>
        <v>х</v>
      </c>
      <c r="AB27" s="4" t="str">
        <f t="shared" si="23"/>
        <v>х</v>
      </c>
      <c r="AC27" s="4" t="str">
        <f t="shared" si="23"/>
        <v>х</v>
      </c>
      <c r="AD27" s="4" t="str">
        <f t="shared" si="23"/>
        <v>х</v>
      </c>
      <c r="AE27" s="4" t="str">
        <f t="shared" si="23"/>
        <v>х</v>
      </c>
      <c r="AF27" s="4" t="str">
        <f t="shared" si="23"/>
        <v>х</v>
      </c>
      <c r="AG27" s="4" t="str">
        <f t="shared" si="23"/>
        <v>х</v>
      </c>
      <c r="AH27" s="4" t="str">
        <f t="shared" si="23"/>
        <v>х</v>
      </c>
      <c r="AI27" s="4" t="str">
        <f t="shared" si="23"/>
        <v>х</v>
      </c>
      <c r="AJ27" s="4" t="str">
        <f t="shared" si="23"/>
        <v>х</v>
      </c>
      <c r="AK27" s="7" t="str">
        <f>"2013"</f>
        <v>2013</v>
      </c>
      <c r="AL27" s="4" t="str">
        <f>"0,00"</f>
        <v>0,00</v>
      </c>
      <c r="AM27" s="4" t="str">
        <f>"2025-2027"</f>
        <v>2025-2027</v>
      </c>
      <c r="AN27" s="4" t="str">
        <f>"да"</f>
        <v>да</v>
      </c>
      <c r="AO27" s="4" t="str">
        <f>"2013"</f>
        <v>2013</v>
      </c>
      <c r="AP27" s="4" t="str">
        <f>"1,00"</f>
        <v>1,00</v>
      </c>
      <c r="AQ27" s="4" t="str">
        <f>"2025-2027"</f>
        <v>2025-2027</v>
      </c>
      <c r="AR27" s="4" t="str">
        <f>"нет"</f>
        <v>нет</v>
      </c>
      <c r="AS27" s="4" t="str">
        <f>""</f>
        <v/>
      </c>
      <c r="AT27" s="4" t="str">
        <f>""</f>
        <v/>
      </c>
      <c r="AU27" s="4" t="str">
        <f>""</f>
        <v/>
      </c>
      <c r="AV27" s="4" t="str">
        <f t="shared" si="13"/>
        <v>х</v>
      </c>
      <c r="AW27" s="4" t="str">
        <f t="shared" si="13"/>
        <v>х</v>
      </c>
      <c r="AX27" s="4" t="str">
        <f t="shared" si="13"/>
        <v>х</v>
      </c>
      <c r="AY27" s="4" t="str">
        <f t="shared" si="13"/>
        <v>х</v>
      </c>
      <c r="AZ27" s="4" t="str">
        <f t="shared" si="3"/>
        <v>х</v>
      </c>
      <c r="BA27" s="4" t="str">
        <f t="shared" si="3"/>
        <v>х</v>
      </c>
      <c r="BB27" s="4" t="str">
        <f t="shared" si="3"/>
        <v>х</v>
      </c>
      <c r="BC27" s="4" t="str">
        <f t="shared" si="11"/>
        <v>х</v>
      </c>
      <c r="BD27" s="4" t="str">
        <f t="shared" si="4"/>
        <v>х</v>
      </c>
      <c r="BE27" s="4" t="str">
        <f t="shared" si="4"/>
        <v>х</v>
      </c>
      <c r="BF27" s="4" t="str">
        <f t="shared" si="4"/>
        <v>х</v>
      </c>
      <c r="BG27" s="4" t="str">
        <f>"1972"</f>
        <v>1972</v>
      </c>
      <c r="BH27" s="4" t="str">
        <f>"45,00"</f>
        <v>45,00</v>
      </c>
      <c r="BI27" s="4" t="str">
        <f>"2025-2027"</f>
        <v>2025-2027</v>
      </c>
      <c r="BJ27" s="4" t="str">
        <f>"нет"</f>
        <v>нет</v>
      </c>
      <c r="BK27" s="4" t="str">
        <f t="shared" ref="BK27:BM28" si="24">"х"</f>
        <v>х</v>
      </c>
      <c r="BL27" s="4" t="str">
        <f t="shared" si="24"/>
        <v>х</v>
      </c>
      <c r="BM27" s="4" t="str">
        <f t="shared" si="24"/>
        <v>х</v>
      </c>
      <c r="BN27" s="4" t="str">
        <f>"нет"</f>
        <v>нет</v>
      </c>
      <c r="BO27" s="4" t="str">
        <f t="shared" ref="BO27:BQ28" si="25">"х"</f>
        <v>х</v>
      </c>
      <c r="BP27" s="4" t="str">
        <f t="shared" si="25"/>
        <v>х</v>
      </c>
      <c r="BQ27" s="4" t="str">
        <f t="shared" si="25"/>
        <v>х</v>
      </c>
      <c r="BR27" s="4" t="str">
        <f>"1972"</f>
        <v>1972</v>
      </c>
      <c r="BS27" s="4" t="str">
        <f>"55,00"</f>
        <v>55,00</v>
      </c>
      <c r="BT27" s="4" t="str">
        <f>"2025-2027"</f>
        <v>2025-2027</v>
      </c>
      <c r="BU27" s="4" t="str">
        <f t="shared" si="5"/>
        <v>нет</v>
      </c>
      <c r="BV27" s="4" t="str">
        <f t="shared" si="6"/>
        <v>x</v>
      </c>
      <c r="BW27" s="4" t="str">
        <f t="shared" si="6"/>
        <v>x</v>
      </c>
      <c r="BX27" s="4" t="str">
        <f t="shared" si="6"/>
        <v>x</v>
      </c>
      <c r="BY27" s="4" t="str">
        <f t="shared" si="7"/>
        <v>нет</v>
      </c>
      <c r="BZ27" s="4" t="str">
        <f t="shared" si="8"/>
        <v>x</v>
      </c>
      <c r="CA27" s="4" t="str">
        <f t="shared" si="8"/>
        <v>x</v>
      </c>
      <c r="CB27" s="4" t="str">
        <f t="shared" si="8"/>
        <v>x</v>
      </c>
      <c r="CC27" s="4" t="str">
        <f>"1972"</f>
        <v>1972</v>
      </c>
      <c r="CD27" s="4" t="str">
        <f>"35,00"</f>
        <v>35,00</v>
      </c>
      <c r="CE27" s="4" t="str">
        <f>"2025-2027"</f>
        <v>2025-2027</v>
      </c>
      <c r="CF27" s="4" t="str">
        <f>"1972"</f>
        <v>1972</v>
      </c>
      <c r="CG27" s="4" t="str">
        <f>"40,00"</f>
        <v>40,00</v>
      </c>
      <c r="CH27" s="4" t="str">
        <f>"2025-2027"</f>
        <v>2025-2027</v>
      </c>
      <c r="CI27" s="4" t="str">
        <f>"41,00"</f>
        <v>41,00</v>
      </c>
      <c r="CJ27" s="4" t="str">
        <f>"2025-2027"</f>
        <v>2025-2027</v>
      </c>
    </row>
    <row r="28" spans="1:88" ht="11.25" customHeight="1">
      <c r="A28" s="45" t="str">
        <f>"24.15"</f>
        <v>24.15</v>
      </c>
      <c r="B28" s="46" t="str">
        <f>"г. Харовск, пер. Заводской, д.3"</f>
        <v>г. Харовск, пер. Заводской, д.3</v>
      </c>
      <c r="C28" s="6" t="str">
        <f>"1962"</f>
        <v>1962</v>
      </c>
      <c r="D28" s="4" t="str">
        <f>"1962"</f>
        <v>1962</v>
      </c>
      <c r="E28" s="4" t="str">
        <f>"55,00"</f>
        <v>55,00</v>
      </c>
      <c r="F28" s="4" t="str">
        <f>"2020-2022"</f>
        <v>2020-2022</v>
      </c>
      <c r="G28" s="4" t="str">
        <f t="shared" si="0"/>
        <v>нет</v>
      </c>
      <c r="H28" s="4" t="str">
        <f>""</f>
        <v/>
      </c>
      <c r="I28" s="4" t="str">
        <f>""</f>
        <v/>
      </c>
      <c r="J28" s="4" t="str">
        <f>""</f>
        <v/>
      </c>
      <c r="K28" s="4" t="str">
        <f t="shared" si="1"/>
        <v>нет</v>
      </c>
      <c r="L28" s="4" t="str">
        <f>""</f>
        <v/>
      </c>
      <c r="M28" s="4" t="str">
        <f>""</f>
        <v/>
      </c>
      <c r="N28" s="4" t="str">
        <f>""</f>
        <v/>
      </c>
      <c r="O28" s="7" t="str">
        <f t="shared" ref="O28:Y28" si="26">"х"</f>
        <v>х</v>
      </c>
      <c r="P28" s="4" t="str">
        <f t="shared" si="26"/>
        <v>х</v>
      </c>
      <c r="Q28" s="4" t="str">
        <f t="shared" si="26"/>
        <v>х</v>
      </c>
      <c r="R28" s="4" t="str">
        <f t="shared" si="26"/>
        <v>х</v>
      </c>
      <c r="S28" s="4" t="str">
        <f t="shared" si="26"/>
        <v>х</v>
      </c>
      <c r="T28" s="4" t="str">
        <f t="shared" si="26"/>
        <v>х</v>
      </c>
      <c r="U28" s="4" t="str">
        <f t="shared" si="26"/>
        <v>х</v>
      </c>
      <c r="V28" s="4" t="str">
        <f t="shared" si="26"/>
        <v>х</v>
      </c>
      <c r="W28" s="4" t="str">
        <f t="shared" si="26"/>
        <v>х</v>
      </c>
      <c r="X28" s="4" t="str">
        <f t="shared" si="26"/>
        <v>х</v>
      </c>
      <c r="Y28" s="8" t="str">
        <f t="shared" si="26"/>
        <v>х</v>
      </c>
      <c r="Z28" s="4" t="str">
        <f t="shared" si="23"/>
        <v>х</v>
      </c>
      <c r="AA28" s="4" t="str">
        <f t="shared" si="23"/>
        <v>х</v>
      </c>
      <c r="AB28" s="4" t="str">
        <f t="shared" si="23"/>
        <v>х</v>
      </c>
      <c r="AC28" s="4" t="str">
        <f t="shared" si="23"/>
        <v>х</v>
      </c>
      <c r="AD28" s="4" t="str">
        <f t="shared" si="23"/>
        <v>х</v>
      </c>
      <c r="AE28" s="4" t="str">
        <f t="shared" si="23"/>
        <v>х</v>
      </c>
      <c r="AF28" s="4" t="str">
        <f t="shared" si="23"/>
        <v>х</v>
      </c>
      <c r="AG28" s="4" t="str">
        <f t="shared" si="23"/>
        <v>х</v>
      </c>
      <c r="AH28" s="4" t="str">
        <f t="shared" si="23"/>
        <v>х</v>
      </c>
      <c r="AI28" s="4" t="str">
        <f t="shared" si="23"/>
        <v>х</v>
      </c>
      <c r="AJ28" s="4" t="str">
        <f t="shared" si="23"/>
        <v>х</v>
      </c>
      <c r="AK28" s="7" t="str">
        <f t="shared" ref="AK28:AU28" si="27">"х"</f>
        <v>х</v>
      </c>
      <c r="AL28" s="4" t="str">
        <f t="shared" si="27"/>
        <v>х</v>
      </c>
      <c r="AM28" s="4" t="str">
        <f t="shared" si="27"/>
        <v>х</v>
      </c>
      <c r="AN28" s="4" t="str">
        <f t="shared" si="27"/>
        <v>х</v>
      </c>
      <c r="AO28" s="4" t="str">
        <f t="shared" si="27"/>
        <v>х</v>
      </c>
      <c r="AP28" s="4" t="str">
        <f t="shared" si="27"/>
        <v>х</v>
      </c>
      <c r="AQ28" s="4" t="str">
        <f t="shared" si="27"/>
        <v>х</v>
      </c>
      <c r="AR28" s="4" t="str">
        <f t="shared" si="27"/>
        <v>х</v>
      </c>
      <c r="AS28" s="4" t="str">
        <f t="shared" si="27"/>
        <v>х</v>
      </c>
      <c r="AT28" s="4" t="str">
        <f t="shared" si="27"/>
        <v>х</v>
      </c>
      <c r="AU28" s="4" t="str">
        <f t="shared" si="27"/>
        <v>х</v>
      </c>
      <c r="AV28" s="4" t="str">
        <f t="shared" si="13"/>
        <v>х</v>
      </c>
      <c r="AW28" s="4" t="str">
        <f t="shared" si="13"/>
        <v>х</v>
      </c>
      <c r="AX28" s="4" t="str">
        <f t="shared" si="13"/>
        <v>х</v>
      </c>
      <c r="AY28" s="4" t="str">
        <f t="shared" si="13"/>
        <v>х</v>
      </c>
      <c r="AZ28" s="4" t="str">
        <f t="shared" si="3"/>
        <v>х</v>
      </c>
      <c r="BA28" s="4" t="str">
        <f t="shared" si="3"/>
        <v>х</v>
      </c>
      <c r="BB28" s="4" t="str">
        <f t="shared" si="3"/>
        <v>х</v>
      </c>
      <c r="BC28" s="4" t="str">
        <f t="shared" si="11"/>
        <v>х</v>
      </c>
      <c r="BD28" s="4" t="str">
        <f t="shared" si="4"/>
        <v>х</v>
      </c>
      <c r="BE28" s="4" t="str">
        <f t="shared" si="4"/>
        <v>х</v>
      </c>
      <c r="BF28" s="4" t="str">
        <f t="shared" si="4"/>
        <v>х</v>
      </c>
      <c r="BG28" s="4" t="str">
        <f>"х"</f>
        <v>х</v>
      </c>
      <c r="BH28" s="4" t="str">
        <f>"х"</f>
        <v>х</v>
      </c>
      <c r="BI28" s="4" t="str">
        <f>"х"</f>
        <v>х</v>
      </c>
      <c r="BJ28" s="4" t="str">
        <f>"х"</f>
        <v>х</v>
      </c>
      <c r="BK28" s="4" t="str">
        <f t="shared" si="24"/>
        <v>х</v>
      </c>
      <c r="BL28" s="4" t="str">
        <f t="shared" si="24"/>
        <v>х</v>
      </c>
      <c r="BM28" s="4" t="str">
        <f t="shared" si="24"/>
        <v>х</v>
      </c>
      <c r="BN28" s="4" t="str">
        <f>"х"</f>
        <v>х</v>
      </c>
      <c r="BO28" s="4" t="str">
        <f t="shared" si="25"/>
        <v>х</v>
      </c>
      <c r="BP28" s="4" t="str">
        <f t="shared" si="25"/>
        <v>х</v>
      </c>
      <c r="BQ28" s="4" t="str">
        <f t="shared" si="25"/>
        <v>х</v>
      </c>
      <c r="BR28" s="4" t="str">
        <f>"1962"</f>
        <v>1962</v>
      </c>
      <c r="BS28" s="4" t="str">
        <f>"45,00"</f>
        <v>45,00</v>
      </c>
      <c r="BT28" s="4" t="str">
        <f>"2020-2022"</f>
        <v>2020-2022</v>
      </c>
      <c r="BU28" s="4" t="str">
        <f t="shared" si="5"/>
        <v>нет</v>
      </c>
      <c r="BV28" s="4" t="str">
        <f t="shared" si="6"/>
        <v>x</v>
      </c>
      <c r="BW28" s="4" t="str">
        <f t="shared" si="6"/>
        <v>x</v>
      </c>
      <c r="BX28" s="4" t="str">
        <f t="shared" si="6"/>
        <v>x</v>
      </c>
      <c r="BY28" s="4" t="str">
        <f t="shared" si="7"/>
        <v>нет</v>
      </c>
      <c r="BZ28" s="4" t="str">
        <f t="shared" si="8"/>
        <v>x</v>
      </c>
      <c r="CA28" s="4" t="str">
        <f t="shared" si="8"/>
        <v>x</v>
      </c>
      <c r="CB28" s="4" t="str">
        <f t="shared" si="8"/>
        <v>x</v>
      </c>
      <c r="CC28" s="4" t="str">
        <f>"1962"</f>
        <v>1962</v>
      </c>
      <c r="CD28" s="4" t="str">
        <f>"40,00"</f>
        <v>40,00</v>
      </c>
      <c r="CE28" s="4" t="str">
        <f>"2020-2022"</f>
        <v>2020-2022</v>
      </c>
      <c r="CF28" s="4" t="str">
        <f>"1962"</f>
        <v>1962</v>
      </c>
      <c r="CG28" s="4" t="str">
        <f>"55,00"</f>
        <v>55,00</v>
      </c>
      <c r="CH28" s="4" t="str">
        <f>"2020-2022"</f>
        <v>2020-2022</v>
      </c>
      <c r="CI28" s="4" t="str">
        <f>"50,00"</f>
        <v>50,00</v>
      </c>
      <c r="CJ28" s="4" t="str">
        <f>"2020-2022"</f>
        <v>2020-2022</v>
      </c>
    </row>
    <row r="29" spans="1:88" ht="11.25" customHeight="1">
      <c r="A29" s="45" t="str">
        <f>"24.16"</f>
        <v>24.16</v>
      </c>
      <c r="B29" s="46" t="str">
        <f>"г. Харовск, пер. Заводской, д.5"</f>
        <v>г. Харовск, пер. Заводской, д.5</v>
      </c>
      <c r="C29" s="6" t="str">
        <f>"1970"</f>
        <v>1970</v>
      </c>
      <c r="D29" s="4" t="str">
        <f>"1970"</f>
        <v>1970</v>
      </c>
      <c r="E29" s="4" t="str">
        <f>"30,00"</f>
        <v>30,00</v>
      </c>
      <c r="F29" s="4" t="str">
        <f>"2024-2026"</f>
        <v>2024-2026</v>
      </c>
      <c r="G29" s="4" t="str">
        <f t="shared" si="0"/>
        <v>нет</v>
      </c>
      <c r="H29" s="4" t="str">
        <f>""</f>
        <v/>
      </c>
      <c r="I29" s="4" t="str">
        <f>""</f>
        <v/>
      </c>
      <c r="J29" s="4" t="str">
        <f>""</f>
        <v/>
      </c>
      <c r="K29" s="4" t="str">
        <f t="shared" si="1"/>
        <v>нет</v>
      </c>
      <c r="L29" s="4" t="str">
        <f>""</f>
        <v/>
      </c>
      <c r="M29" s="4" t="str">
        <f>""</f>
        <v/>
      </c>
      <c r="N29" s="4" t="str">
        <f>""</f>
        <v/>
      </c>
      <c r="O29" s="7" t="str">
        <f>"1970"</f>
        <v>1970</v>
      </c>
      <c r="P29" s="4" t="str">
        <f>"30,00"</f>
        <v>30,00</v>
      </c>
      <c r="Q29" s="4" t="str">
        <f>"2024-2026"</f>
        <v>2024-2026</v>
      </c>
      <c r="R29" s="4" t="str">
        <f>"нет"</f>
        <v>нет</v>
      </c>
      <c r="S29" s="4" t="str">
        <f>""</f>
        <v/>
      </c>
      <c r="T29" s="4" t="str">
        <f>""</f>
        <v/>
      </c>
      <c r="U29" s="4" t="str">
        <f>""</f>
        <v/>
      </c>
      <c r="V29" s="4" t="str">
        <f t="shared" ref="V29:V34" si="28">"нет"</f>
        <v>нет</v>
      </c>
      <c r="W29" s="4" t="str">
        <f>""</f>
        <v/>
      </c>
      <c r="X29" s="4" t="str">
        <f>""</f>
        <v/>
      </c>
      <c r="Y29" s="8" t="str">
        <f>""</f>
        <v/>
      </c>
      <c r="Z29" s="4" t="str">
        <f t="shared" si="23"/>
        <v>х</v>
      </c>
      <c r="AA29" s="4" t="str">
        <f t="shared" si="23"/>
        <v>х</v>
      </c>
      <c r="AB29" s="4" t="str">
        <f t="shared" si="23"/>
        <v>х</v>
      </c>
      <c r="AC29" s="4" t="str">
        <f t="shared" si="23"/>
        <v>х</v>
      </c>
      <c r="AD29" s="4" t="str">
        <f t="shared" si="23"/>
        <v>х</v>
      </c>
      <c r="AE29" s="4" t="str">
        <f t="shared" si="23"/>
        <v>х</v>
      </c>
      <c r="AF29" s="4" t="str">
        <f t="shared" si="23"/>
        <v>х</v>
      </c>
      <c r="AG29" s="4" t="str">
        <f t="shared" si="23"/>
        <v>х</v>
      </c>
      <c r="AH29" s="4" t="str">
        <f t="shared" si="23"/>
        <v>х</v>
      </c>
      <c r="AI29" s="4" t="str">
        <f t="shared" si="23"/>
        <v>х</v>
      </c>
      <c r="AJ29" s="4" t="str">
        <f t="shared" si="23"/>
        <v>х</v>
      </c>
      <c r="AK29" s="7" t="str">
        <f>"1970"</f>
        <v>1970</v>
      </c>
      <c r="AL29" s="4" t="str">
        <f>"30,00"</f>
        <v>30,00</v>
      </c>
      <c r="AM29" s="4" t="str">
        <f>"2024-2026"</f>
        <v>2024-2026</v>
      </c>
      <c r="AN29" s="4" t="str">
        <f>"да"</f>
        <v>да</v>
      </c>
      <c r="AO29" s="4" t="str">
        <f>"2013"</f>
        <v>2013</v>
      </c>
      <c r="AP29" s="4" t="str">
        <f>"1,00"</f>
        <v>1,00</v>
      </c>
      <c r="AQ29" s="4" t="str">
        <f>"2024-2026"</f>
        <v>2024-2026</v>
      </c>
      <c r="AR29" s="4" t="str">
        <f t="shared" ref="AR29:AR36" si="29">"нет"</f>
        <v>нет</v>
      </c>
      <c r="AS29" s="4" t="str">
        <f>""</f>
        <v/>
      </c>
      <c r="AT29" s="4" t="str">
        <f>""</f>
        <v/>
      </c>
      <c r="AU29" s="4" t="str">
        <f>""</f>
        <v/>
      </c>
      <c r="AV29" s="4" t="str">
        <f t="shared" si="13"/>
        <v>х</v>
      </c>
      <c r="AW29" s="4" t="str">
        <f t="shared" si="13"/>
        <v>х</v>
      </c>
      <c r="AX29" s="4" t="str">
        <f t="shared" si="13"/>
        <v>х</v>
      </c>
      <c r="AY29" s="4" t="str">
        <f t="shared" si="13"/>
        <v>х</v>
      </c>
      <c r="AZ29" s="4" t="str">
        <f t="shared" si="3"/>
        <v>х</v>
      </c>
      <c r="BA29" s="4" t="str">
        <f t="shared" si="3"/>
        <v>х</v>
      </c>
      <c r="BB29" s="4" t="str">
        <f t="shared" si="3"/>
        <v>х</v>
      </c>
      <c r="BC29" s="4" t="str">
        <f t="shared" si="11"/>
        <v>х</v>
      </c>
      <c r="BD29" s="4" t="str">
        <f t="shared" si="4"/>
        <v>х</v>
      </c>
      <c r="BE29" s="4" t="str">
        <f t="shared" si="4"/>
        <v>х</v>
      </c>
      <c r="BF29" s="4" t="str">
        <f t="shared" si="4"/>
        <v>х</v>
      </c>
      <c r="BG29" s="4" t="str">
        <f>"1970"</f>
        <v>1970</v>
      </c>
      <c r="BH29" s="4" t="str">
        <f>"30,00"</f>
        <v>30,00</v>
      </c>
      <c r="BI29" s="4" t="str">
        <f>"2024-2026"</f>
        <v>2024-2026</v>
      </c>
      <c r="BJ29" s="4" t="str">
        <f t="shared" ref="BJ29:BJ34" si="30">"нет"</f>
        <v>нет</v>
      </c>
      <c r="BK29" s="4" t="str">
        <f>""</f>
        <v/>
      </c>
      <c r="BL29" s="4" t="str">
        <f>""</f>
        <v/>
      </c>
      <c r="BM29" s="4" t="str">
        <f>""</f>
        <v/>
      </c>
      <c r="BN29" s="4" t="str">
        <f t="shared" ref="BN29:BN34" si="31">"нет"</f>
        <v>нет</v>
      </c>
      <c r="BO29" s="4" t="str">
        <f>""</f>
        <v/>
      </c>
      <c r="BP29" s="4" t="str">
        <f>""</f>
        <v/>
      </c>
      <c r="BQ29" s="4" t="str">
        <f>""</f>
        <v/>
      </c>
      <c r="BR29" s="4" t="str">
        <f>"1970"</f>
        <v>1970</v>
      </c>
      <c r="BS29" s="4" t="str">
        <f>"45,00"</f>
        <v>45,00</v>
      </c>
      <c r="BT29" s="4" t="str">
        <f>"2024-2026"</f>
        <v>2024-2026</v>
      </c>
      <c r="BU29" s="4" t="str">
        <f t="shared" si="5"/>
        <v>нет</v>
      </c>
      <c r="BV29" s="4" t="str">
        <f t="shared" si="6"/>
        <v>x</v>
      </c>
      <c r="BW29" s="4" t="str">
        <f t="shared" si="6"/>
        <v>x</v>
      </c>
      <c r="BX29" s="4" t="str">
        <f t="shared" si="6"/>
        <v>x</v>
      </c>
      <c r="BY29" s="4" t="str">
        <f t="shared" si="7"/>
        <v>нет</v>
      </c>
      <c r="BZ29" s="4" t="str">
        <f t="shared" si="8"/>
        <v>x</v>
      </c>
      <c r="CA29" s="4" t="str">
        <f t="shared" si="8"/>
        <v>x</v>
      </c>
      <c r="CB29" s="4" t="str">
        <f t="shared" si="8"/>
        <v>x</v>
      </c>
      <c r="CC29" s="4" t="str">
        <f>"1970"</f>
        <v>1970</v>
      </c>
      <c r="CD29" s="4" t="str">
        <f>"35,00"</f>
        <v>35,00</v>
      </c>
      <c r="CE29" s="4" t="str">
        <f>"2024-2026"</f>
        <v>2024-2026</v>
      </c>
      <c r="CF29" s="4" t="str">
        <f>"1970"</f>
        <v>1970</v>
      </c>
      <c r="CG29" s="4" t="str">
        <f>"30,00"</f>
        <v>30,00</v>
      </c>
      <c r="CH29" s="4" t="str">
        <f>"2024-2026"</f>
        <v>2024-2026</v>
      </c>
      <c r="CI29" s="4" t="str">
        <f>"41,00"</f>
        <v>41,00</v>
      </c>
      <c r="CJ29" s="4" t="str">
        <f>"2024-2026"</f>
        <v>2024-2026</v>
      </c>
    </row>
    <row r="30" spans="1:88" ht="11.25" customHeight="1">
      <c r="A30" s="45" t="str">
        <f>"24.17"</f>
        <v>24.17</v>
      </c>
      <c r="B30" s="46" t="str">
        <f>"г. Харовск, пер. Кирова, д.7"</f>
        <v>г. Харовск, пер. Кирова, д.7</v>
      </c>
      <c r="C30" s="6" t="str">
        <f>"1993"</f>
        <v>1993</v>
      </c>
      <c r="D30" s="4" t="str">
        <f>"1993"</f>
        <v>1993</v>
      </c>
      <c r="E30" s="4" t="str">
        <f>"30,00"</f>
        <v>30,00</v>
      </c>
      <c r="F30" s="4" t="str">
        <f>"2035-2037"</f>
        <v>2035-2037</v>
      </c>
      <c r="G30" s="4" t="str">
        <f t="shared" si="0"/>
        <v>нет</v>
      </c>
      <c r="H30" s="4" t="str">
        <f>""</f>
        <v/>
      </c>
      <c r="I30" s="4" t="str">
        <f>""</f>
        <v/>
      </c>
      <c r="J30" s="4" t="str">
        <f>""</f>
        <v/>
      </c>
      <c r="K30" s="4" t="str">
        <f t="shared" si="1"/>
        <v>нет</v>
      </c>
      <c r="L30" s="4" t="str">
        <f>""</f>
        <v/>
      </c>
      <c r="M30" s="4" t="str">
        <f>""</f>
        <v/>
      </c>
      <c r="N30" s="4" t="str">
        <f>""</f>
        <v/>
      </c>
      <c r="O30" s="7" t="str">
        <f>"1993"</f>
        <v>1993</v>
      </c>
      <c r="P30" s="4" t="str">
        <f>"30,00"</f>
        <v>30,00</v>
      </c>
      <c r="Q30" s="4" t="str">
        <f>"2035-2037"</f>
        <v>2035-2037</v>
      </c>
      <c r="R30" s="4" t="str">
        <f>"да"</f>
        <v>да</v>
      </c>
      <c r="S30" s="4" t="str">
        <f>"2009"</f>
        <v>2009</v>
      </c>
      <c r="T30" s="4" t="str">
        <f>"90,00"</f>
        <v>90,00</v>
      </c>
      <c r="U30" s="4" t="str">
        <f>"2035-2037"</f>
        <v>2035-2037</v>
      </c>
      <c r="V30" s="4" t="str">
        <f t="shared" si="28"/>
        <v>нет</v>
      </c>
      <c r="W30" s="4" t="str">
        <f>""</f>
        <v/>
      </c>
      <c r="X30" s="4" t="str">
        <f>""</f>
        <v/>
      </c>
      <c r="Y30" s="8" t="str">
        <f>""</f>
        <v/>
      </c>
      <c r="Z30" s="4" t="str">
        <f t="shared" si="23"/>
        <v>х</v>
      </c>
      <c r="AA30" s="4" t="str">
        <f t="shared" si="23"/>
        <v>х</v>
      </c>
      <c r="AB30" s="4" t="str">
        <f t="shared" si="23"/>
        <v>х</v>
      </c>
      <c r="AC30" s="4" t="str">
        <f t="shared" si="23"/>
        <v>х</v>
      </c>
      <c r="AD30" s="4" t="str">
        <f t="shared" si="23"/>
        <v>х</v>
      </c>
      <c r="AE30" s="4" t="str">
        <f t="shared" si="23"/>
        <v>х</v>
      </c>
      <c r="AF30" s="4" t="str">
        <f t="shared" si="23"/>
        <v>х</v>
      </c>
      <c r="AG30" s="4" t="str">
        <f t="shared" si="23"/>
        <v>х</v>
      </c>
      <c r="AH30" s="4" t="str">
        <f t="shared" si="23"/>
        <v>х</v>
      </c>
      <c r="AI30" s="4" t="str">
        <f t="shared" si="23"/>
        <v>х</v>
      </c>
      <c r="AJ30" s="4" t="str">
        <f t="shared" si="23"/>
        <v>х</v>
      </c>
      <c r="AK30" s="7" t="str">
        <f>"1993"</f>
        <v>1993</v>
      </c>
      <c r="AL30" s="4" t="str">
        <f>"30,00"</f>
        <v>30,00</v>
      </c>
      <c r="AM30" s="4" t="str">
        <f>"2035-2037"</f>
        <v>2035-2037</v>
      </c>
      <c r="AN30" s="4" t="str">
        <f>"нет"</f>
        <v>нет</v>
      </c>
      <c r="AO30" s="4" t="str">
        <f>""</f>
        <v/>
      </c>
      <c r="AP30" s="4" t="str">
        <f>""</f>
        <v/>
      </c>
      <c r="AQ30" s="4" t="str">
        <f>""</f>
        <v/>
      </c>
      <c r="AR30" s="4" t="str">
        <f t="shared" si="29"/>
        <v>нет</v>
      </c>
      <c r="AS30" s="4" t="str">
        <f>""</f>
        <v/>
      </c>
      <c r="AT30" s="4" t="str">
        <f>""</f>
        <v/>
      </c>
      <c r="AU30" s="4" t="str">
        <f>""</f>
        <v/>
      </c>
      <c r="AV30" s="4" t="str">
        <f>"1993"</f>
        <v>1993</v>
      </c>
      <c r="AW30" s="4" t="str">
        <f>"30,00"</f>
        <v>30,00</v>
      </c>
      <c r="AX30" s="4" t="str">
        <f>"2035-2037"</f>
        <v>2035-2037</v>
      </c>
      <c r="AY30" s="4" t="str">
        <f>"нет"</f>
        <v>нет</v>
      </c>
      <c r="AZ30" s="4" t="str">
        <f>""</f>
        <v/>
      </c>
      <c r="BA30" s="4" t="str">
        <f>""</f>
        <v/>
      </c>
      <c r="BB30" s="4" t="str">
        <f>""</f>
        <v/>
      </c>
      <c r="BC30" s="4" t="str">
        <f>"нет"</f>
        <v>нет</v>
      </c>
      <c r="BD30" s="4" t="str">
        <f>""</f>
        <v/>
      </c>
      <c r="BE30" s="4" t="str">
        <f>""</f>
        <v/>
      </c>
      <c r="BF30" s="4" t="str">
        <f>""</f>
        <v/>
      </c>
      <c r="BG30" s="4" t="str">
        <f>"1993"</f>
        <v>1993</v>
      </c>
      <c r="BH30" s="4" t="str">
        <f>"30,00"</f>
        <v>30,00</v>
      </c>
      <c r="BI30" s="4" t="str">
        <f>"2035-2037"</f>
        <v>2035-2037</v>
      </c>
      <c r="BJ30" s="4" t="str">
        <f t="shared" si="30"/>
        <v>нет</v>
      </c>
      <c r="BK30" s="4" t="str">
        <f>""</f>
        <v/>
      </c>
      <c r="BL30" s="4" t="str">
        <f>""</f>
        <v/>
      </c>
      <c r="BM30" s="4" t="str">
        <f>""</f>
        <v/>
      </c>
      <c r="BN30" s="4" t="str">
        <f t="shared" si="31"/>
        <v>нет</v>
      </c>
      <c r="BO30" s="4" t="str">
        <f>""</f>
        <v/>
      </c>
      <c r="BP30" s="4" t="str">
        <f>""</f>
        <v/>
      </c>
      <c r="BQ30" s="4" t="str">
        <f>""</f>
        <v/>
      </c>
      <c r="BR30" s="4" t="str">
        <f>"1993"</f>
        <v>1993</v>
      </c>
      <c r="BS30" s="4" t="str">
        <f>"25,00"</f>
        <v>25,00</v>
      </c>
      <c r="BT30" s="4" t="str">
        <f>"2035-2037"</f>
        <v>2035-2037</v>
      </c>
      <c r="BU30" s="4" t="str">
        <f t="shared" si="5"/>
        <v>нет</v>
      </c>
      <c r="BV30" s="4" t="str">
        <f t="shared" si="6"/>
        <v>x</v>
      </c>
      <c r="BW30" s="4" t="str">
        <f t="shared" si="6"/>
        <v>x</v>
      </c>
      <c r="BX30" s="4" t="str">
        <f t="shared" si="6"/>
        <v>x</v>
      </c>
      <c r="BY30" s="4" t="str">
        <f t="shared" si="7"/>
        <v>нет</v>
      </c>
      <c r="BZ30" s="4" t="str">
        <f t="shared" si="8"/>
        <v>x</v>
      </c>
      <c r="CA30" s="4" t="str">
        <f t="shared" si="8"/>
        <v>x</v>
      </c>
      <c r="CB30" s="4" t="str">
        <f t="shared" si="8"/>
        <v>x</v>
      </c>
      <c r="CC30" s="4" t="str">
        <f>"1993"</f>
        <v>1993</v>
      </c>
      <c r="CD30" s="4" t="str">
        <f>"15,00"</f>
        <v>15,00</v>
      </c>
      <c r="CE30" s="4" t="str">
        <f>"2035-2037"</f>
        <v>2035-2037</v>
      </c>
      <c r="CF30" s="4" t="str">
        <f>"1993"</f>
        <v>1993</v>
      </c>
      <c r="CG30" s="4" t="str">
        <f>"15,00"</f>
        <v>15,00</v>
      </c>
      <c r="CH30" s="4" t="str">
        <f>"2035-2037"</f>
        <v>2035-2037</v>
      </c>
      <c r="CI30" s="4" t="str">
        <f>"15,00"</f>
        <v>15,00</v>
      </c>
      <c r="CJ30" s="4" t="str">
        <f>"2035-2037"</f>
        <v>2035-2037</v>
      </c>
    </row>
    <row r="31" spans="1:88" ht="11.25" customHeight="1">
      <c r="A31" s="45" t="str">
        <f>"24.18"</f>
        <v>24.18</v>
      </c>
      <c r="B31" s="46" t="str">
        <f>"г. Харовск, пер. Майский, д.1"</f>
        <v>г. Харовск, пер. Майский, д.1</v>
      </c>
      <c r="C31" s="6" t="str">
        <f>"1982"</f>
        <v>1982</v>
      </c>
      <c r="D31" s="4" t="str">
        <f>"1982"</f>
        <v>1982</v>
      </c>
      <c r="E31" s="4" t="str">
        <f>"55,00"</f>
        <v>55,00</v>
      </c>
      <c r="F31" s="4" t="str">
        <f>"2029-2031"</f>
        <v>2029-2031</v>
      </c>
      <c r="G31" s="4" t="str">
        <f t="shared" si="0"/>
        <v>нет</v>
      </c>
      <c r="H31" s="4" t="str">
        <f>""</f>
        <v/>
      </c>
      <c r="I31" s="4" t="str">
        <f>""</f>
        <v/>
      </c>
      <c r="J31" s="4" t="str">
        <f>""</f>
        <v/>
      </c>
      <c r="K31" s="4" t="str">
        <f t="shared" si="1"/>
        <v>нет</v>
      </c>
      <c r="L31" s="4" t="str">
        <f>""</f>
        <v/>
      </c>
      <c r="M31" s="4" t="str">
        <f>""</f>
        <v/>
      </c>
      <c r="N31" s="4" t="str">
        <f>""</f>
        <v/>
      </c>
      <c r="O31" s="7" t="str">
        <f>"1982"</f>
        <v>1982</v>
      </c>
      <c r="P31" s="4" t="str">
        <f>"55,00"</f>
        <v>55,00</v>
      </c>
      <c r="Q31" s="4" t="str">
        <f>"2029-2031"</f>
        <v>2029-2031</v>
      </c>
      <c r="R31" s="4" t="str">
        <f>"да"</f>
        <v>да</v>
      </c>
      <c r="S31" s="4" t="str">
        <f>"2010"</f>
        <v>2010</v>
      </c>
      <c r="T31" s="4" t="str">
        <f>"75,00"</f>
        <v>75,00</v>
      </c>
      <c r="U31" s="4" t="str">
        <f>"2029-2031"</f>
        <v>2029-2031</v>
      </c>
      <c r="V31" s="4" t="str">
        <f t="shared" si="28"/>
        <v>нет</v>
      </c>
      <c r="W31" s="4" t="str">
        <f>""</f>
        <v/>
      </c>
      <c r="X31" s="4" t="str">
        <f>""</f>
        <v/>
      </c>
      <c r="Y31" s="8" t="str">
        <f>""</f>
        <v/>
      </c>
      <c r="Z31" s="4" t="str">
        <f t="shared" si="23"/>
        <v>х</v>
      </c>
      <c r="AA31" s="4" t="str">
        <f t="shared" si="23"/>
        <v>х</v>
      </c>
      <c r="AB31" s="4" t="str">
        <f t="shared" si="23"/>
        <v>х</v>
      </c>
      <c r="AC31" s="4" t="str">
        <f t="shared" si="23"/>
        <v>х</v>
      </c>
      <c r="AD31" s="4" t="str">
        <f t="shared" si="23"/>
        <v>х</v>
      </c>
      <c r="AE31" s="4" t="str">
        <f t="shared" si="23"/>
        <v>х</v>
      </c>
      <c r="AF31" s="4" t="str">
        <f t="shared" si="23"/>
        <v>х</v>
      </c>
      <c r="AG31" s="4" t="str">
        <f t="shared" si="23"/>
        <v>х</v>
      </c>
      <c r="AH31" s="4" t="str">
        <f t="shared" si="23"/>
        <v>х</v>
      </c>
      <c r="AI31" s="4" t="str">
        <f t="shared" si="23"/>
        <v>х</v>
      </c>
      <c r="AJ31" s="4" t="str">
        <f t="shared" si="23"/>
        <v>х</v>
      </c>
      <c r="AK31" s="7" t="str">
        <f>"1982"</f>
        <v>1982</v>
      </c>
      <c r="AL31" s="4" t="str">
        <f>"55,00"</f>
        <v>55,00</v>
      </c>
      <c r="AM31" s="4" t="str">
        <f>"2029-2031"</f>
        <v>2029-2031</v>
      </c>
      <c r="AN31" s="4" t="str">
        <f>"да"</f>
        <v>да</v>
      </c>
      <c r="AO31" s="4" t="str">
        <f>"2013"</f>
        <v>2013</v>
      </c>
      <c r="AP31" s="4" t="str">
        <f>"1,00"</f>
        <v>1,00</v>
      </c>
      <c r="AQ31" s="4" t="str">
        <f>"2029-2031"</f>
        <v>2029-2031</v>
      </c>
      <c r="AR31" s="4" t="str">
        <f t="shared" si="29"/>
        <v>нет</v>
      </c>
      <c r="AS31" s="4" t="str">
        <f>""</f>
        <v/>
      </c>
      <c r="AT31" s="4" t="str">
        <f>""</f>
        <v/>
      </c>
      <c r="AU31" s="4" t="str">
        <f>""</f>
        <v/>
      </c>
      <c r="AV31" s="4" t="str">
        <f t="shared" ref="AV31:BF38" si="32">"х"</f>
        <v>х</v>
      </c>
      <c r="AW31" s="4" t="str">
        <f t="shared" si="32"/>
        <v>х</v>
      </c>
      <c r="AX31" s="4" t="str">
        <f t="shared" si="32"/>
        <v>х</v>
      </c>
      <c r="AY31" s="4" t="str">
        <f t="shared" si="32"/>
        <v>х</v>
      </c>
      <c r="AZ31" s="4" t="str">
        <f t="shared" si="32"/>
        <v>х</v>
      </c>
      <c r="BA31" s="4" t="str">
        <f t="shared" si="32"/>
        <v>х</v>
      </c>
      <c r="BB31" s="4" t="str">
        <f t="shared" si="32"/>
        <v>х</v>
      </c>
      <c r="BC31" s="4" t="str">
        <f t="shared" si="32"/>
        <v>х</v>
      </c>
      <c r="BD31" s="4" t="str">
        <f t="shared" si="32"/>
        <v>х</v>
      </c>
      <c r="BE31" s="4" t="str">
        <f t="shared" si="32"/>
        <v>х</v>
      </c>
      <c r="BF31" s="4" t="str">
        <f t="shared" si="32"/>
        <v>х</v>
      </c>
      <c r="BG31" s="4" t="str">
        <f>"1982"</f>
        <v>1982</v>
      </c>
      <c r="BH31" s="4" t="str">
        <f>"55,00"</f>
        <v>55,00</v>
      </c>
      <c r="BI31" s="4" t="str">
        <f>"2029-2031"</f>
        <v>2029-2031</v>
      </c>
      <c r="BJ31" s="4" t="str">
        <f t="shared" si="30"/>
        <v>нет</v>
      </c>
      <c r="BK31" s="4" t="str">
        <f>""</f>
        <v/>
      </c>
      <c r="BL31" s="4" t="str">
        <f>""</f>
        <v/>
      </c>
      <c r="BM31" s="4" t="str">
        <f>""</f>
        <v/>
      </c>
      <c r="BN31" s="4" t="str">
        <f t="shared" si="31"/>
        <v>нет</v>
      </c>
      <c r="BO31" s="4" t="str">
        <f>""</f>
        <v/>
      </c>
      <c r="BP31" s="4" t="str">
        <f>""</f>
        <v/>
      </c>
      <c r="BQ31" s="4" t="str">
        <f>""</f>
        <v/>
      </c>
      <c r="BR31" s="4" t="str">
        <f>"1982"</f>
        <v>1982</v>
      </c>
      <c r="BS31" s="4" t="str">
        <f>"45,00"</f>
        <v>45,00</v>
      </c>
      <c r="BT31" s="4" t="str">
        <f>"2029-2031"</f>
        <v>2029-2031</v>
      </c>
      <c r="BU31" s="4" t="str">
        <f t="shared" si="5"/>
        <v>нет</v>
      </c>
      <c r="BV31" s="4" t="str">
        <f t="shared" si="6"/>
        <v>x</v>
      </c>
      <c r="BW31" s="4" t="str">
        <f t="shared" si="6"/>
        <v>x</v>
      </c>
      <c r="BX31" s="4" t="str">
        <f t="shared" si="6"/>
        <v>x</v>
      </c>
      <c r="BY31" s="4" t="str">
        <f t="shared" si="7"/>
        <v>нет</v>
      </c>
      <c r="BZ31" s="4" t="str">
        <f t="shared" si="8"/>
        <v>x</v>
      </c>
      <c r="CA31" s="4" t="str">
        <f t="shared" si="8"/>
        <v>x</v>
      </c>
      <c r="CB31" s="4" t="str">
        <f t="shared" si="8"/>
        <v>x</v>
      </c>
      <c r="CC31" s="4" t="str">
        <f>"1982"</f>
        <v>1982</v>
      </c>
      <c r="CD31" s="4" t="str">
        <f>"30,00"</f>
        <v>30,00</v>
      </c>
      <c r="CE31" s="4" t="str">
        <f>"2029-2031"</f>
        <v>2029-2031</v>
      </c>
      <c r="CF31" s="4" t="str">
        <f>"1982"</f>
        <v>1982</v>
      </c>
      <c r="CG31" s="4" t="str">
        <f>"30,00"</f>
        <v>30,00</v>
      </c>
      <c r="CH31" s="4" t="str">
        <f>"2029-2031"</f>
        <v>2029-2031</v>
      </c>
      <c r="CI31" s="4" t="str">
        <f>"33,00"</f>
        <v>33,00</v>
      </c>
      <c r="CJ31" s="4" t="str">
        <f>"2029-2031"</f>
        <v>2029-2031</v>
      </c>
    </row>
    <row r="32" spans="1:88" ht="11.25" customHeight="1">
      <c r="A32" s="45" t="str">
        <f>"24.19"</f>
        <v>24.19</v>
      </c>
      <c r="B32" s="46" t="str">
        <f>"г. Харовск, пер. Майский, д.2"</f>
        <v>г. Харовск, пер. Майский, д.2</v>
      </c>
      <c r="C32" s="6" t="str">
        <f>"1986"</f>
        <v>1986</v>
      </c>
      <c r="D32" s="4" t="str">
        <f>"1986"</f>
        <v>1986</v>
      </c>
      <c r="E32" s="4" t="str">
        <f>"35,00"</f>
        <v>35,00</v>
      </c>
      <c r="F32" s="4" t="str">
        <f>"2031-2033"</f>
        <v>2031-2033</v>
      </c>
      <c r="G32" s="4" t="str">
        <f t="shared" si="0"/>
        <v>нет</v>
      </c>
      <c r="H32" s="4" t="str">
        <f>""</f>
        <v/>
      </c>
      <c r="I32" s="4" t="str">
        <f>""</f>
        <v/>
      </c>
      <c r="J32" s="4" t="str">
        <f>""</f>
        <v/>
      </c>
      <c r="K32" s="4" t="str">
        <f t="shared" si="1"/>
        <v>нет</v>
      </c>
      <c r="L32" s="4" t="str">
        <f>""</f>
        <v/>
      </c>
      <c r="M32" s="4" t="str">
        <f>""</f>
        <v/>
      </c>
      <c r="N32" s="4" t="str">
        <f>""</f>
        <v/>
      </c>
      <c r="O32" s="7" t="str">
        <f>"1986"</f>
        <v>1986</v>
      </c>
      <c r="P32" s="4" t="str">
        <f>"35,00"</f>
        <v>35,00</v>
      </c>
      <c r="Q32" s="4" t="str">
        <f>"2031-2033"</f>
        <v>2031-2033</v>
      </c>
      <c r="R32" s="4" t="str">
        <f>"нет"</f>
        <v>нет</v>
      </c>
      <c r="S32" s="4" t="str">
        <f>""</f>
        <v/>
      </c>
      <c r="T32" s="4" t="str">
        <f>""</f>
        <v/>
      </c>
      <c r="U32" s="4" t="str">
        <f>""</f>
        <v/>
      </c>
      <c r="V32" s="4" t="str">
        <f t="shared" si="28"/>
        <v>нет</v>
      </c>
      <c r="W32" s="4" t="str">
        <f>""</f>
        <v/>
      </c>
      <c r="X32" s="4" t="str">
        <f>""</f>
        <v/>
      </c>
      <c r="Y32" s="8" t="str">
        <f>""</f>
        <v/>
      </c>
      <c r="Z32" s="4" t="str">
        <f t="shared" si="23"/>
        <v>х</v>
      </c>
      <c r="AA32" s="4" t="str">
        <f t="shared" si="23"/>
        <v>х</v>
      </c>
      <c r="AB32" s="4" t="str">
        <f t="shared" si="23"/>
        <v>х</v>
      </c>
      <c r="AC32" s="4" t="str">
        <f t="shared" si="23"/>
        <v>х</v>
      </c>
      <c r="AD32" s="4" t="str">
        <f t="shared" si="23"/>
        <v>х</v>
      </c>
      <c r="AE32" s="4" t="str">
        <f t="shared" si="23"/>
        <v>х</v>
      </c>
      <c r="AF32" s="4" t="str">
        <f t="shared" si="23"/>
        <v>х</v>
      </c>
      <c r="AG32" s="4" t="str">
        <f t="shared" si="23"/>
        <v>х</v>
      </c>
      <c r="AH32" s="4" t="str">
        <f t="shared" si="23"/>
        <v>х</v>
      </c>
      <c r="AI32" s="4" t="str">
        <f t="shared" si="23"/>
        <v>х</v>
      </c>
      <c r="AJ32" s="4" t="str">
        <f t="shared" si="23"/>
        <v>х</v>
      </c>
      <c r="AK32" s="7" t="str">
        <f>"1986"</f>
        <v>1986</v>
      </c>
      <c r="AL32" s="4" t="str">
        <f>"35,00"</f>
        <v>35,00</v>
      </c>
      <c r="AM32" s="4" t="str">
        <f>"2031-2033"</f>
        <v>2031-2033</v>
      </c>
      <c r="AN32" s="4" t="str">
        <f>"нет"</f>
        <v>нет</v>
      </c>
      <c r="AO32" s="4" t="str">
        <f>""</f>
        <v/>
      </c>
      <c r="AP32" s="4" t="str">
        <f>""</f>
        <v/>
      </c>
      <c r="AQ32" s="4" t="str">
        <f>""</f>
        <v/>
      </c>
      <c r="AR32" s="4" t="str">
        <f t="shared" si="29"/>
        <v>нет</v>
      </c>
      <c r="AS32" s="4" t="str">
        <f>""</f>
        <v/>
      </c>
      <c r="AT32" s="4" t="str">
        <f>""</f>
        <v/>
      </c>
      <c r="AU32" s="4" t="str">
        <f>""</f>
        <v/>
      </c>
      <c r="AV32" s="4" t="str">
        <f t="shared" si="32"/>
        <v>х</v>
      </c>
      <c r="AW32" s="4" t="str">
        <f t="shared" si="32"/>
        <v>х</v>
      </c>
      <c r="AX32" s="4" t="str">
        <f t="shared" si="32"/>
        <v>х</v>
      </c>
      <c r="AY32" s="4" t="str">
        <f t="shared" si="32"/>
        <v>х</v>
      </c>
      <c r="AZ32" s="4" t="str">
        <f t="shared" si="32"/>
        <v>х</v>
      </c>
      <c r="BA32" s="4" t="str">
        <f t="shared" si="32"/>
        <v>х</v>
      </c>
      <c r="BB32" s="4" t="str">
        <f t="shared" si="32"/>
        <v>х</v>
      </c>
      <c r="BC32" s="4" t="str">
        <f t="shared" si="32"/>
        <v>х</v>
      </c>
      <c r="BD32" s="4" t="str">
        <f t="shared" si="32"/>
        <v>х</v>
      </c>
      <c r="BE32" s="4" t="str">
        <f t="shared" si="32"/>
        <v>х</v>
      </c>
      <c r="BF32" s="4" t="str">
        <f t="shared" si="32"/>
        <v>х</v>
      </c>
      <c r="BG32" s="4" t="str">
        <f>"1986"</f>
        <v>1986</v>
      </c>
      <c r="BH32" s="4" t="str">
        <f>"35,00"</f>
        <v>35,00</v>
      </c>
      <c r="BI32" s="4" t="str">
        <f>"2031-2033"</f>
        <v>2031-2033</v>
      </c>
      <c r="BJ32" s="4" t="str">
        <f t="shared" si="30"/>
        <v>нет</v>
      </c>
      <c r="BK32" s="4" t="str">
        <f>""</f>
        <v/>
      </c>
      <c r="BL32" s="4" t="str">
        <f>""</f>
        <v/>
      </c>
      <c r="BM32" s="4" t="str">
        <f>""</f>
        <v/>
      </c>
      <c r="BN32" s="4" t="str">
        <f t="shared" si="31"/>
        <v>нет</v>
      </c>
      <c r="BO32" s="4" t="str">
        <f>""</f>
        <v/>
      </c>
      <c r="BP32" s="4" t="str">
        <f>""</f>
        <v/>
      </c>
      <c r="BQ32" s="4" t="str">
        <f>""</f>
        <v/>
      </c>
      <c r="BR32" s="4" t="str">
        <f>"1986"</f>
        <v>1986</v>
      </c>
      <c r="BS32" s="4" t="str">
        <f>"35,00"</f>
        <v>35,00</v>
      </c>
      <c r="BT32" s="4" t="str">
        <f>"2031-2033"</f>
        <v>2031-2033</v>
      </c>
      <c r="BU32" s="4" t="str">
        <f t="shared" si="5"/>
        <v>нет</v>
      </c>
      <c r="BV32" s="4" t="str">
        <f t="shared" si="6"/>
        <v>x</v>
      </c>
      <c r="BW32" s="4" t="str">
        <f t="shared" si="6"/>
        <v>x</v>
      </c>
      <c r="BX32" s="4" t="str">
        <f t="shared" si="6"/>
        <v>x</v>
      </c>
      <c r="BY32" s="4" t="str">
        <f t="shared" si="7"/>
        <v>нет</v>
      </c>
      <c r="BZ32" s="4" t="str">
        <f t="shared" si="8"/>
        <v>x</v>
      </c>
      <c r="CA32" s="4" t="str">
        <f t="shared" si="8"/>
        <v>x</v>
      </c>
      <c r="CB32" s="4" t="str">
        <f t="shared" si="8"/>
        <v>x</v>
      </c>
      <c r="CC32" s="4" t="str">
        <f>"1986"</f>
        <v>1986</v>
      </c>
      <c r="CD32" s="4" t="str">
        <f>"30,00"</f>
        <v>30,00</v>
      </c>
      <c r="CE32" s="4" t="str">
        <f>"2031-2033"</f>
        <v>2031-2033</v>
      </c>
      <c r="CF32" s="4" t="str">
        <f>"1986"</f>
        <v>1986</v>
      </c>
      <c r="CG32" s="4" t="str">
        <f>"25,00"</f>
        <v>25,00</v>
      </c>
      <c r="CH32" s="4" t="str">
        <f>"2031-2033"</f>
        <v>2031-2033</v>
      </c>
      <c r="CI32" s="4" t="str">
        <f>"27,00"</f>
        <v>27,00</v>
      </c>
      <c r="CJ32" s="4" t="str">
        <f>"2031-2033"</f>
        <v>2031-2033</v>
      </c>
    </row>
    <row r="33" spans="1:88" ht="11.25" customHeight="1">
      <c r="A33" s="45" t="str">
        <f>"24.20"</f>
        <v>24.20</v>
      </c>
      <c r="B33" s="46" t="str">
        <f>"г. Харовск, пер. Майский, д.3"</f>
        <v>г. Харовск, пер. Майский, д.3</v>
      </c>
      <c r="C33" s="6" t="str">
        <f>"1977"</f>
        <v>1977</v>
      </c>
      <c r="D33" s="4" t="str">
        <f>"1977"</f>
        <v>1977</v>
      </c>
      <c r="E33" s="4" t="str">
        <f>"60,00"</f>
        <v>60,00</v>
      </c>
      <c r="F33" s="4" t="str">
        <f>"2027-2029"</f>
        <v>2027-2029</v>
      </c>
      <c r="G33" s="4" t="str">
        <f t="shared" si="0"/>
        <v>нет</v>
      </c>
      <c r="H33" s="4" t="str">
        <f>""</f>
        <v/>
      </c>
      <c r="I33" s="4" t="str">
        <f>""</f>
        <v/>
      </c>
      <c r="J33" s="4" t="str">
        <f>""</f>
        <v/>
      </c>
      <c r="K33" s="4" t="str">
        <f t="shared" si="1"/>
        <v>нет</v>
      </c>
      <c r="L33" s="4" t="str">
        <f>""</f>
        <v/>
      </c>
      <c r="M33" s="4" t="str">
        <f>""</f>
        <v/>
      </c>
      <c r="N33" s="4" t="str">
        <f>""</f>
        <v/>
      </c>
      <c r="O33" s="7" t="str">
        <f>"1977"</f>
        <v>1977</v>
      </c>
      <c r="P33" s="4" t="str">
        <f>"60,00"</f>
        <v>60,00</v>
      </c>
      <c r="Q33" s="4" t="str">
        <f>"2027-2029"</f>
        <v>2027-2029</v>
      </c>
      <c r="R33" s="4" t="str">
        <f>"да"</f>
        <v>да</v>
      </c>
      <c r="S33" s="4" t="str">
        <f>"2012"</f>
        <v>2012</v>
      </c>
      <c r="T33" s="4" t="str">
        <f>"1,00"</f>
        <v>1,00</v>
      </c>
      <c r="U33" s="4" t="str">
        <f>"2027-2029"</f>
        <v>2027-2029</v>
      </c>
      <c r="V33" s="4" t="str">
        <f t="shared" si="28"/>
        <v>нет</v>
      </c>
      <c r="W33" s="4" t="str">
        <f>""</f>
        <v/>
      </c>
      <c r="X33" s="4" t="str">
        <f>""</f>
        <v/>
      </c>
      <c r="Y33" s="8" t="str">
        <f>""</f>
        <v/>
      </c>
      <c r="Z33" s="4" t="str">
        <f t="shared" si="23"/>
        <v>х</v>
      </c>
      <c r="AA33" s="4" t="str">
        <f t="shared" si="23"/>
        <v>х</v>
      </c>
      <c r="AB33" s="4" t="str">
        <f t="shared" si="23"/>
        <v>х</v>
      </c>
      <c r="AC33" s="4" t="str">
        <f t="shared" si="23"/>
        <v>х</v>
      </c>
      <c r="AD33" s="4" t="str">
        <f t="shared" si="23"/>
        <v>х</v>
      </c>
      <c r="AE33" s="4" t="str">
        <f t="shared" si="23"/>
        <v>х</v>
      </c>
      <c r="AF33" s="4" t="str">
        <f t="shared" si="23"/>
        <v>х</v>
      </c>
      <c r="AG33" s="4" t="str">
        <f t="shared" si="23"/>
        <v>х</v>
      </c>
      <c r="AH33" s="4" t="str">
        <f t="shared" si="23"/>
        <v>х</v>
      </c>
      <c r="AI33" s="4" t="str">
        <f t="shared" si="23"/>
        <v>х</v>
      </c>
      <c r="AJ33" s="4" t="str">
        <f t="shared" si="23"/>
        <v>х</v>
      </c>
      <c r="AK33" s="7" t="str">
        <f>"1977"</f>
        <v>1977</v>
      </c>
      <c r="AL33" s="4" t="str">
        <f>"60,00"</f>
        <v>60,00</v>
      </c>
      <c r="AM33" s="4" t="str">
        <f>"2027-2029"</f>
        <v>2027-2029</v>
      </c>
      <c r="AN33" s="4" t="str">
        <f>"да"</f>
        <v>да</v>
      </c>
      <c r="AO33" s="4" t="str">
        <f>"2013"</f>
        <v>2013</v>
      </c>
      <c r="AP33" s="4" t="str">
        <f>"1,00"</f>
        <v>1,00</v>
      </c>
      <c r="AQ33" s="4" t="str">
        <f>"2027-2029"</f>
        <v>2027-2029</v>
      </c>
      <c r="AR33" s="4" t="str">
        <f t="shared" si="29"/>
        <v>нет</v>
      </c>
      <c r="AS33" s="4" t="str">
        <f>""</f>
        <v/>
      </c>
      <c r="AT33" s="4" t="str">
        <f>""</f>
        <v/>
      </c>
      <c r="AU33" s="4" t="str">
        <f>""</f>
        <v/>
      </c>
      <c r="AV33" s="4" t="str">
        <f t="shared" si="32"/>
        <v>х</v>
      </c>
      <c r="AW33" s="4" t="str">
        <f t="shared" si="32"/>
        <v>х</v>
      </c>
      <c r="AX33" s="4" t="str">
        <f t="shared" si="32"/>
        <v>х</v>
      </c>
      <c r="AY33" s="4" t="str">
        <f t="shared" si="32"/>
        <v>х</v>
      </c>
      <c r="AZ33" s="4" t="str">
        <f t="shared" si="32"/>
        <v>х</v>
      </c>
      <c r="BA33" s="4" t="str">
        <f t="shared" si="32"/>
        <v>х</v>
      </c>
      <c r="BB33" s="4" t="str">
        <f t="shared" si="32"/>
        <v>х</v>
      </c>
      <c r="BC33" s="4" t="str">
        <f t="shared" si="32"/>
        <v>х</v>
      </c>
      <c r="BD33" s="4" t="str">
        <f t="shared" si="32"/>
        <v>х</v>
      </c>
      <c r="BE33" s="4" t="str">
        <f t="shared" si="32"/>
        <v>х</v>
      </c>
      <c r="BF33" s="4" t="str">
        <f t="shared" si="32"/>
        <v>х</v>
      </c>
      <c r="BG33" s="4" t="str">
        <f>"1977"</f>
        <v>1977</v>
      </c>
      <c r="BH33" s="4" t="str">
        <f>"60,00"</f>
        <v>60,00</v>
      </c>
      <c r="BI33" s="4" t="str">
        <f>"2027-2029"</f>
        <v>2027-2029</v>
      </c>
      <c r="BJ33" s="4" t="str">
        <f t="shared" si="30"/>
        <v>нет</v>
      </c>
      <c r="BK33" s="4" t="str">
        <f>""</f>
        <v/>
      </c>
      <c r="BL33" s="4" t="str">
        <f>""</f>
        <v/>
      </c>
      <c r="BM33" s="4" t="str">
        <f>""</f>
        <v/>
      </c>
      <c r="BN33" s="4" t="str">
        <f t="shared" si="31"/>
        <v>нет</v>
      </c>
      <c r="BO33" s="4" t="str">
        <f>""</f>
        <v/>
      </c>
      <c r="BP33" s="4" t="str">
        <f>""</f>
        <v/>
      </c>
      <c r="BQ33" s="4" t="str">
        <f>""</f>
        <v/>
      </c>
      <c r="BR33" s="4" t="str">
        <f>"1977"</f>
        <v>1977</v>
      </c>
      <c r="BS33" s="4" t="str">
        <f>"60,00"</f>
        <v>60,00</v>
      </c>
      <c r="BT33" s="4" t="str">
        <f>"2027-2029"</f>
        <v>2027-2029</v>
      </c>
      <c r="BU33" s="4" t="str">
        <f t="shared" si="5"/>
        <v>нет</v>
      </c>
      <c r="BV33" s="4" t="str">
        <f t="shared" si="6"/>
        <v>x</v>
      </c>
      <c r="BW33" s="4" t="str">
        <f t="shared" si="6"/>
        <v>x</v>
      </c>
      <c r="BX33" s="4" t="str">
        <f t="shared" si="6"/>
        <v>x</v>
      </c>
      <c r="BY33" s="4" t="str">
        <f t="shared" si="7"/>
        <v>нет</v>
      </c>
      <c r="BZ33" s="4" t="str">
        <f t="shared" si="8"/>
        <v>x</v>
      </c>
      <c r="CA33" s="4" t="str">
        <f t="shared" si="8"/>
        <v>x</v>
      </c>
      <c r="CB33" s="4" t="str">
        <f t="shared" si="8"/>
        <v>x</v>
      </c>
      <c r="CC33" s="4" t="str">
        <f>"1977"</f>
        <v>1977</v>
      </c>
      <c r="CD33" s="4" t="str">
        <f>"40,00"</f>
        <v>40,00</v>
      </c>
      <c r="CE33" s="4" t="str">
        <f>"2027-2029"</f>
        <v>2027-2029</v>
      </c>
      <c r="CF33" s="4" t="str">
        <f>"1977"</f>
        <v>1977</v>
      </c>
      <c r="CG33" s="4" t="str">
        <f>"50,00"</f>
        <v>50,00</v>
      </c>
      <c r="CH33" s="4" t="str">
        <f>"2027-2029"</f>
        <v>2027-2029</v>
      </c>
      <c r="CI33" s="4" t="str">
        <f>"33,00"</f>
        <v>33,00</v>
      </c>
      <c r="CJ33" s="4" t="str">
        <f>"2027-2029"</f>
        <v>2027-2029</v>
      </c>
    </row>
    <row r="34" spans="1:88" ht="11.25" customHeight="1">
      <c r="A34" s="45" t="str">
        <f>"24.21"</f>
        <v>24.21</v>
      </c>
      <c r="B34" s="46" t="str">
        <f>"г. Харовск, пер. Майский, д.5"</f>
        <v>г. Харовск, пер. Майский, д.5</v>
      </c>
      <c r="C34" s="6" t="str">
        <f>"1982"</f>
        <v>1982</v>
      </c>
      <c r="D34" s="4" t="str">
        <f>"1982"</f>
        <v>1982</v>
      </c>
      <c r="E34" s="4" t="str">
        <f>"40,00"</f>
        <v>40,00</v>
      </c>
      <c r="F34" s="4" t="str">
        <f>"2029-2031"</f>
        <v>2029-2031</v>
      </c>
      <c r="G34" s="4" t="str">
        <f t="shared" si="0"/>
        <v>нет</v>
      </c>
      <c r="H34" s="4" t="str">
        <f>""</f>
        <v/>
      </c>
      <c r="I34" s="4" t="str">
        <f>""</f>
        <v/>
      </c>
      <c r="J34" s="4" t="str">
        <f>""</f>
        <v/>
      </c>
      <c r="K34" s="4" t="str">
        <f t="shared" si="1"/>
        <v>нет</v>
      </c>
      <c r="L34" s="4" t="str">
        <f>""</f>
        <v/>
      </c>
      <c r="M34" s="4" t="str">
        <f>""</f>
        <v/>
      </c>
      <c r="N34" s="4" t="str">
        <f>""</f>
        <v/>
      </c>
      <c r="O34" s="7" t="str">
        <f>"1982"</f>
        <v>1982</v>
      </c>
      <c r="P34" s="4" t="str">
        <f>"40,00"</f>
        <v>40,00</v>
      </c>
      <c r="Q34" s="4" t="str">
        <f>"2029-2031"</f>
        <v>2029-2031</v>
      </c>
      <c r="R34" s="4" t="str">
        <f>"нет"</f>
        <v>нет</v>
      </c>
      <c r="S34" s="4" t="str">
        <f>""</f>
        <v/>
      </c>
      <c r="T34" s="4" t="str">
        <f>""</f>
        <v/>
      </c>
      <c r="U34" s="4" t="str">
        <f>""</f>
        <v/>
      </c>
      <c r="V34" s="4" t="str">
        <f t="shared" si="28"/>
        <v>нет</v>
      </c>
      <c r="W34" s="4" t="str">
        <f>""</f>
        <v/>
      </c>
      <c r="X34" s="4" t="str">
        <f>""</f>
        <v/>
      </c>
      <c r="Y34" s="8" t="str">
        <f>""</f>
        <v/>
      </c>
      <c r="Z34" s="4" t="str">
        <f t="shared" ref="Z34:AJ43" si="33">"х"</f>
        <v>х</v>
      </c>
      <c r="AA34" s="4" t="str">
        <f t="shared" si="33"/>
        <v>х</v>
      </c>
      <c r="AB34" s="4" t="str">
        <f t="shared" si="33"/>
        <v>х</v>
      </c>
      <c r="AC34" s="4" t="str">
        <f t="shared" si="33"/>
        <v>х</v>
      </c>
      <c r="AD34" s="4" t="str">
        <f t="shared" si="33"/>
        <v>х</v>
      </c>
      <c r="AE34" s="4" t="str">
        <f t="shared" si="33"/>
        <v>х</v>
      </c>
      <c r="AF34" s="4" t="str">
        <f t="shared" si="33"/>
        <v>х</v>
      </c>
      <c r="AG34" s="4" t="str">
        <f t="shared" si="33"/>
        <v>х</v>
      </c>
      <c r="AH34" s="4" t="str">
        <f t="shared" si="33"/>
        <v>х</v>
      </c>
      <c r="AI34" s="4" t="str">
        <f t="shared" si="33"/>
        <v>х</v>
      </c>
      <c r="AJ34" s="4" t="str">
        <f t="shared" si="33"/>
        <v>х</v>
      </c>
      <c r="AK34" s="7" t="str">
        <f>"1982"</f>
        <v>1982</v>
      </c>
      <c r="AL34" s="4" t="str">
        <f>"40,00"</f>
        <v>40,00</v>
      </c>
      <c r="AM34" s="4" t="str">
        <f>"2029-2031"</f>
        <v>2029-2031</v>
      </c>
      <c r="AN34" s="4" t="str">
        <f>"да"</f>
        <v>да</v>
      </c>
      <c r="AO34" s="4" t="str">
        <f>"2013"</f>
        <v>2013</v>
      </c>
      <c r="AP34" s="4" t="str">
        <f>"1,00"</f>
        <v>1,00</v>
      </c>
      <c r="AQ34" s="4" t="str">
        <f>"2029-2031"</f>
        <v>2029-2031</v>
      </c>
      <c r="AR34" s="4" t="str">
        <f t="shared" si="29"/>
        <v>нет</v>
      </c>
      <c r="AS34" s="4" t="str">
        <f>""</f>
        <v/>
      </c>
      <c r="AT34" s="4" t="str">
        <f>""</f>
        <v/>
      </c>
      <c r="AU34" s="4" t="str">
        <f>""</f>
        <v/>
      </c>
      <c r="AV34" s="4" t="str">
        <f t="shared" si="32"/>
        <v>х</v>
      </c>
      <c r="AW34" s="4" t="str">
        <f t="shared" si="32"/>
        <v>х</v>
      </c>
      <c r="AX34" s="4" t="str">
        <f t="shared" si="32"/>
        <v>х</v>
      </c>
      <c r="AY34" s="4" t="str">
        <f t="shared" si="32"/>
        <v>х</v>
      </c>
      <c r="AZ34" s="4" t="str">
        <f t="shared" si="32"/>
        <v>х</v>
      </c>
      <c r="BA34" s="4" t="str">
        <f t="shared" si="32"/>
        <v>х</v>
      </c>
      <c r="BB34" s="4" t="str">
        <f t="shared" si="32"/>
        <v>х</v>
      </c>
      <c r="BC34" s="4" t="str">
        <f t="shared" si="32"/>
        <v>х</v>
      </c>
      <c r="BD34" s="4" t="str">
        <f t="shared" si="32"/>
        <v>х</v>
      </c>
      <c r="BE34" s="4" t="str">
        <f t="shared" si="32"/>
        <v>х</v>
      </c>
      <c r="BF34" s="4" t="str">
        <f t="shared" si="32"/>
        <v>х</v>
      </c>
      <c r="BG34" s="4" t="str">
        <f>"1982"</f>
        <v>1982</v>
      </c>
      <c r="BH34" s="4" t="str">
        <f>"55,00"</f>
        <v>55,00</v>
      </c>
      <c r="BI34" s="4" t="str">
        <f>"2029-2031"</f>
        <v>2029-2031</v>
      </c>
      <c r="BJ34" s="4" t="str">
        <f t="shared" si="30"/>
        <v>нет</v>
      </c>
      <c r="BK34" s="4" t="str">
        <f>""</f>
        <v/>
      </c>
      <c r="BL34" s="4" t="str">
        <f>""</f>
        <v/>
      </c>
      <c r="BM34" s="4" t="str">
        <f>""</f>
        <v/>
      </c>
      <c r="BN34" s="4" t="str">
        <f t="shared" si="31"/>
        <v>нет</v>
      </c>
      <c r="BO34" s="4" t="str">
        <f>""</f>
        <v/>
      </c>
      <c r="BP34" s="4" t="str">
        <f>""</f>
        <v/>
      </c>
      <c r="BQ34" s="4" t="str">
        <f>""</f>
        <v/>
      </c>
      <c r="BR34" s="4" t="str">
        <f>"1982"</f>
        <v>1982</v>
      </c>
      <c r="BS34" s="4" t="str">
        <f>"35,00"</f>
        <v>35,00</v>
      </c>
      <c r="BT34" s="4" t="str">
        <f>"2029-2031"</f>
        <v>2029-2031</v>
      </c>
      <c r="BU34" s="4" t="str">
        <f t="shared" si="5"/>
        <v>нет</v>
      </c>
      <c r="BV34" s="4" t="str">
        <f t="shared" ref="BV34:BX53" si="34">"x"</f>
        <v>x</v>
      </c>
      <c r="BW34" s="4" t="str">
        <f t="shared" si="34"/>
        <v>x</v>
      </c>
      <c r="BX34" s="4" t="str">
        <f t="shared" si="34"/>
        <v>x</v>
      </c>
      <c r="BY34" s="4" t="str">
        <f t="shared" si="7"/>
        <v>нет</v>
      </c>
      <c r="BZ34" s="4" t="str">
        <f t="shared" ref="BZ34:CB53" si="35">"x"</f>
        <v>x</v>
      </c>
      <c r="CA34" s="4" t="str">
        <f t="shared" si="35"/>
        <v>x</v>
      </c>
      <c r="CB34" s="4" t="str">
        <f t="shared" si="35"/>
        <v>x</v>
      </c>
      <c r="CC34" s="4" t="str">
        <f>"1982"</f>
        <v>1982</v>
      </c>
      <c r="CD34" s="4" t="str">
        <f>"30,00"</f>
        <v>30,00</v>
      </c>
      <c r="CE34" s="4" t="str">
        <f>"2029-2031"</f>
        <v>2029-2031</v>
      </c>
      <c r="CF34" s="4" t="str">
        <f>"1982"</f>
        <v>1982</v>
      </c>
      <c r="CG34" s="4" t="str">
        <f>"25,00"</f>
        <v>25,00</v>
      </c>
      <c r="CH34" s="4" t="str">
        <f>"2029-2031"</f>
        <v>2029-2031</v>
      </c>
      <c r="CI34" s="4" t="str">
        <f>"27,00"</f>
        <v>27,00</v>
      </c>
      <c r="CJ34" s="4" t="str">
        <f>"2029-2031"</f>
        <v>2029-2031</v>
      </c>
    </row>
    <row r="35" spans="1:88" ht="11.25" customHeight="1">
      <c r="A35" s="45" t="str">
        <f>"24.22"</f>
        <v>24.22</v>
      </c>
      <c r="B35" s="46" t="str">
        <f>"г. Харовск, пер. Строителей, д.3"</f>
        <v>г. Харовск, пер. Строителей, д.3</v>
      </c>
      <c r="C35" s="6" t="str">
        <f>"1980"</f>
        <v>1980</v>
      </c>
      <c r="D35" s="4" t="str">
        <f>"1980"</f>
        <v>1980</v>
      </c>
      <c r="E35" s="4" t="str">
        <f>"35,00"</f>
        <v>35,00</v>
      </c>
      <c r="F35" s="4" t="str">
        <f>"2028-2030"</f>
        <v>2028-2030</v>
      </c>
      <c r="G35" s="4" t="str">
        <f t="shared" si="0"/>
        <v>нет</v>
      </c>
      <c r="H35" s="4" t="str">
        <f>""</f>
        <v/>
      </c>
      <c r="I35" s="4" t="str">
        <f>""</f>
        <v/>
      </c>
      <c r="J35" s="4" t="str">
        <f>""</f>
        <v/>
      </c>
      <c r="K35" s="4" t="str">
        <f t="shared" si="1"/>
        <v>нет</v>
      </c>
      <c r="L35" s="4" t="str">
        <f>""</f>
        <v/>
      </c>
      <c r="M35" s="4" t="str">
        <f>""</f>
        <v/>
      </c>
      <c r="N35" s="4" t="str">
        <f>""</f>
        <v/>
      </c>
      <c r="O35" s="7" t="str">
        <f t="shared" ref="O35:Y37" si="36">"х"</f>
        <v>х</v>
      </c>
      <c r="P35" s="4" t="str">
        <f t="shared" si="36"/>
        <v>х</v>
      </c>
      <c r="Q35" s="4" t="str">
        <f t="shared" si="36"/>
        <v>х</v>
      </c>
      <c r="R35" s="4" t="str">
        <f t="shared" si="36"/>
        <v>х</v>
      </c>
      <c r="S35" s="4" t="str">
        <f t="shared" si="36"/>
        <v>х</v>
      </c>
      <c r="T35" s="4" t="str">
        <f t="shared" si="36"/>
        <v>х</v>
      </c>
      <c r="U35" s="4" t="str">
        <f t="shared" si="36"/>
        <v>х</v>
      </c>
      <c r="V35" s="4" t="str">
        <f t="shared" si="36"/>
        <v>х</v>
      </c>
      <c r="W35" s="4" t="str">
        <f t="shared" si="36"/>
        <v>х</v>
      </c>
      <c r="X35" s="4" t="str">
        <f t="shared" si="36"/>
        <v>х</v>
      </c>
      <c r="Y35" s="8" t="str">
        <f t="shared" si="36"/>
        <v>х</v>
      </c>
      <c r="Z35" s="4" t="str">
        <f t="shared" si="33"/>
        <v>х</v>
      </c>
      <c r="AA35" s="4" t="str">
        <f t="shared" si="33"/>
        <v>х</v>
      </c>
      <c r="AB35" s="4" t="str">
        <f t="shared" si="33"/>
        <v>х</v>
      </c>
      <c r="AC35" s="4" t="str">
        <f t="shared" si="33"/>
        <v>х</v>
      </c>
      <c r="AD35" s="4" t="str">
        <f t="shared" si="33"/>
        <v>х</v>
      </c>
      <c r="AE35" s="4" t="str">
        <f t="shared" si="33"/>
        <v>х</v>
      </c>
      <c r="AF35" s="4" t="str">
        <f t="shared" si="33"/>
        <v>х</v>
      </c>
      <c r="AG35" s="4" t="str">
        <f t="shared" si="33"/>
        <v>х</v>
      </c>
      <c r="AH35" s="4" t="str">
        <f t="shared" si="33"/>
        <v>х</v>
      </c>
      <c r="AI35" s="4" t="str">
        <f t="shared" si="33"/>
        <v>х</v>
      </c>
      <c r="AJ35" s="4" t="str">
        <f t="shared" si="33"/>
        <v>х</v>
      </c>
      <c r="AK35" s="7" t="str">
        <f>"2010"</f>
        <v>2010</v>
      </c>
      <c r="AL35" s="4" t="str">
        <f>"0,00"</f>
        <v>0,00</v>
      </c>
      <c r="AM35" s="4" t="str">
        <f>"2028-2030"</f>
        <v>2028-2030</v>
      </c>
      <c r="AN35" s="4" t="str">
        <f>"нет"</f>
        <v>нет</v>
      </c>
      <c r="AO35" s="4" t="str">
        <f>""</f>
        <v/>
      </c>
      <c r="AP35" s="4" t="str">
        <f>""</f>
        <v/>
      </c>
      <c r="AQ35" s="4" t="str">
        <f>""</f>
        <v/>
      </c>
      <c r="AR35" s="4" t="str">
        <f t="shared" si="29"/>
        <v>нет</v>
      </c>
      <c r="AS35" s="4" t="str">
        <f>""</f>
        <v/>
      </c>
      <c r="AT35" s="4" t="str">
        <f>""</f>
        <v/>
      </c>
      <c r="AU35" s="4" t="str">
        <f>""</f>
        <v/>
      </c>
      <c r="AV35" s="4" t="str">
        <f t="shared" si="32"/>
        <v>х</v>
      </c>
      <c r="AW35" s="4" t="str">
        <f t="shared" si="32"/>
        <v>х</v>
      </c>
      <c r="AX35" s="4" t="str">
        <f t="shared" si="32"/>
        <v>х</v>
      </c>
      <c r="AY35" s="4" t="str">
        <f t="shared" si="32"/>
        <v>х</v>
      </c>
      <c r="AZ35" s="4" t="str">
        <f t="shared" si="32"/>
        <v>х</v>
      </c>
      <c r="BA35" s="4" t="str">
        <f t="shared" si="32"/>
        <v>х</v>
      </c>
      <c r="BB35" s="4" t="str">
        <f t="shared" si="32"/>
        <v>х</v>
      </c>
      <c r="BC35" s="4" t="str">
        <f t="shared" si="32"/>
        <v>х</v>
      </c>
      <c r="BD35" s="4" t="str">
        <f t="shared" si="32"/>
        <v>х</v>
      </c>
      <c r="BE35" s="4" t="str">
        <f t="shared" si="32"/>
        <v>х</v>
      </c>
      <c r="BF35" s="4" t="str">
        <f t="shared" si="32"/>
        <v>х</v>
      </c>
      <c r="BG35" s="4" t="str">
        <f t="shared" ref="BG35:BQ37" si="37">"х"</f>
        <v>х</v>
      </c>
      <c r="BH35" s="4" t="str">
        <f t="shared" si="37"/>
        <v>х</v>
      </c>
      <c r="BI35" s="4" t="str">
        <f t="shared" si="37"/>
        <v>х</v>
      </c>
      <c r="BJ35" s="4" t="str">
        <f t="shared" si="37"/>
        <v>х</v>
      </c>
      <c r="BK35" s="4" t="str">
        <f t="shared" si="37"/>
        <v>х</v>
      </c>
      <c r="BL35" s="4" t="str">
        <f t="shared" si="37"/>
        <v>х</v>
      </c>
      <c r="BM35" s="4" t="str">
        <f t="shared" si="37"/>
        <v>х</v>
      </c>
      <c r="BN35" s="4" t="str">
        <f t="shared" si="37"/>
        <v>х</v>
      </c>
      <c r="BO35" s="4" t="str">
        <f t="shared" si="37"/>
        <v>х</v>
      </c>
      <c r="BP35" s="4" t="str">
        <f t="shared" si="37"/>
        <v>х</v>
      </c>
      <c r="BQ35" s="4" t="str">
        <f t="shared" si="37"/>
        <v>х</v>
      </c>
      <c r="BR35" s="4" t="str">
        <f>"1980"</f>
        <v>1980</v>
      </c>
      <c r="BS35" s="4" t="str">
        <f>"35,00"</f>
        <v>35,00</v>
      </c>
      <c r="BT35" s="4" t="str">
        <f>"2028-2030"</f>
        <v>2028-2030</v>
      </c>
      <c r="BU35" s="4" t="str">
        <f t="shared" si="5"/>
        <v>нет</v>
      </c>
      <c r="BV35" s="4" t="str">
        <f t="shared" si="34"/>
        <v>x</v>
      </c>
      <c r="BW35" s="4" t="str">
        <f t="shared" si="34"/>
        <v>x</v>
      </c>
      <c r="BX35" s="4" t="str">
        <f t="shared" si="34"/>
        <v>x</v>
      </c>
      <c r="BY35" s="4" t="str">
        <f t="shared" si="7"/>
        <v>нет</v>
      </c>
      <c r="BZ35" s="4" t="str">
        <f t="shared" si="35"/>
        <v>x</v>
      </c>
      <c r="CA35" s="4" t="str">
        <f t="shared" si="35"/>
        <v>x</v>
      </c>
      <c r="CB35" s="4" t="str">
        <f t="shared" si="35"/>
        <v>x</v>
      </c>
      <c r="CC35" s="4" t="str">
        <f>"1980"</f>
        <v>1980</v>
      </c>
      <c r="CD35" s="4" t="str">
        <f>"35,00"</f>
        <v>35,00</v>
      </c>
      <c r="CE35" s="4" t="str">
        <f>"2028-2030"</f>
        <v>2028-2030</v>
      </c>
      <c r="CF35" s="4" t="str">
        <f>"1980"</f>
        <v>1980</v>
      </c>
      <c r="CG35" s="4" t="str">
        <f>"25,00"</f>
        <v>25,00</v>
      </c>
      <c r="CH35" s="4" t="str">
        <f>"2028-2030"</f>
        <v>2028-2030</v>
      </c>
      <c r="CI35" s="4" t="str">
        <f>"32,00"</f>
        <v>32,00</v>
      </c>
      <c r="CJ35" s="4" t="str">
        <f>"2028-2030"</f>
        <v>2028-2030</v>
      </c>
    </row>
    <row r="36" spans="1:88" ht="11.25" customHeight="1">
      <c r="A36" s="45" t="str">
        <f>"24.23"</f>
        <v>24.23</v>
      </c>
      <c r="B36" s="46" t="str">
        <f>"г. Харовск, пер. Строителей, д.5"</f>
        <v>г. Харовск, пер. Строителей, д.5</v>
      </c>
      <c r="C36" s="6" t="str">
        <f>"1980"</f>
        <v>1980</v>
      </c>
      <c r="D36" s="4" t="str">
        <f>"1980"</f>
        <v>1980</v>
      </c>
      <c r="E36" s="4" t="str">
        <f>"35,00"</f>
        <v>35,00</v>
      </c>
      <c r="F36" s="4" t="str">
        <f>"2028-2030"</f>
        <v>2028-2030</v>
      </c>
      <c r="G36" s="4" t="str">
        <f t="shared" si="0"/>
        <v>нет</v>
      </c>
      <c r="H36" s="4" t="str">
        <f>""</f>
        <v/>
      </c>
      <c r="I36" s="4" t="str">
        <f>""</f>
        <v/>
      </c>
      <c r="J36" s="4" t="str">
        <f>""</f>
        <v/>
      </c>
      <c r="K36" s="4" t="str">
        <f t="shared" si="1"/>
        <v>нет</v>
      </c>
      <c r="L36" s="4" t="str">
        <f>""</f>
        <v/>
      </c>
      <c r="M36" s="4" t="str">
        <f>""</f>
        <v/>
      </c>
      <c r="N36" s="4" t="str">
        <f>""</f>
        <v/>
      </c>
      <c r="O36" s="7" t="str">
        <f t="shared" si="36"/>
        <v>х</v>
      </c>
      <c r="P36" s="4" t="str">
        <f t="shared" si="36"/>
        <v>х</v>
      </c>
      <c r="Q36" s="4" t="str">
        <f t="shared" si="36"/>
        <v>х</v>
      </c>
      <c r="R36" s="4" t="str">
        <f t="shared" si="36"/>
        <v>х</v>
      </c>
      <c r="S36" s="4" t="str">
        <f t="shared" si="36"/>
        <v>х</v>
      </c>
      <c r="T36" s="4" t="str">
        <f t="shared" si="36"/>
        <v>х</v>
      </c>
      <c r="U36" s="4" t="str">
        <f t="shared" si="36"/>
        <v>х</v>
      </c>
      <c r="V36" s="4" t="str">
        <f t="shared" si="36"/>
        <v>х</v>
      </c>
      <c r="W36" s="4" t="str">
        <f t="shared" si="36"/>
        <v>х</v>
      </c>
      <c r="X36" s="4" t="str">
        <f t="shared" si="36"/>
        <v>х</v>
      </c>
      <c r="Y36" s="8" t="str">
        <f t="shared" si="36"/>
        <v>х</v>
      </c>
      <c r="Z36" s="4" t="str">
        <f t="shared" si="33"/>
        <v>х</v>
      </c>
      <c r="AA36" s="4" t="str">
        <f t="shared" si="33"/>
        <v>х</v>
      </c>
      <c r="AB36" s="4" t="str">
        <f t="shared" si="33"/>
        <v>х</v>
      </c>
      <c r="AC36" s="4" t="str">
        <f t="shared" si="33"/>
        <v>х</v>
      </c>
      <c r="AD36" s="4" t="str">
        <f t="shared" si="33"/>
        <v>х</v>
      </c>
      <c r="AE36" s="4" t="str">
        <f t="shared" si="33"/>
        <v>х</v>
      </c>
      <c r="AF36" s="4" t="str">
        <f t="shared" si="33"/>
        <v>х</v>
      </c>
      <c r="AG36" s="4" t="str">
        <f t="shared" si="33"/>
        <v>х</v>
      </c>
      <c r="AH36" s="4" t="str">
        <f t="shared" si="33"/>
        <v>х</v>
      </c>
      <c r="AI36" s="4" t="str">
        <f t="shared" si="33"/>
        <v>х</v>
      </c>
      <c r="AJ36" s="4" t="str">
        <f t="shared" si="33"/>
        <v>х</v>
      </c>
      <c r="AK36" s="7" t="str">
        <f>"2011"</f>
        <v>2011</v>
      </c>
      <c r="AL36" s="4" t="str">
        <f>"0,00"</f>
        <v>0,00</v>
      </c>
      <c r="AM36" s="4" t="str">
        <f>"2028-2030"</f>
        <v>2028-2030</v>
      </c>
      <c r="AN36" s="4" t="str">
        <f>"нет"</f>
        <v>нет</v>
      </c>
      <c r="AO36" s="4" t="str">
        <f>""</f>
        <v/>
      </c>
      <c r="AP36" s="4" t="str">
        <f>""</f>
        <v/>
      </c>
      <c r="AQ36" s="4" t="str">
        <f>""</f>
        <v/>
      </c>
      <c r="AR36" s="4" t="str">
        <f t="shared" si="29"/>
        <v>нет</v>
      </c>
      <c r="AS36" s="4" t="str">
        <f>""</f>
        <v/>
      </c>
      <c r="AT36" s="4" t="str">
        <f>""</f>
        <v/>
      </c>
      <c r="AU36" s="4" t="str">
        <f>""</f>
        <v/>
      </c>
      <c r="AV36" s="4" t="str">
        <f t="shared" si="32"/>
        <v>х</v>
      </c>
      <c r="AW36" s="4" t="str">
        <f t="shared" si="32"/>
        <v>х</v>
      </c>
      <c r="AX36" s="4" t="str">
        <f t="shared" si="32"/>
        <v>х</v>
      </c>
      <c r="AY36" s="4" t="str">
        <f t="shared" si="32"/>
        <v>х</v>
      </c>
      <c r="AZ36" s="4" t="str">
        <f t="shared" si="32"/>
        <v>х</v>
      </c>
      <c r="BA36" s="4" t="str">
        <f t="shared" si="32"/>
        <v>х</v>
      </c>
      <c r="BB36" s="4" t="str">
        <f t="shared" si="32"/>
        <v>х</v>
      </c>
      <c r="BC36" s="4" t="str">
        <f t="shared" si="32"/>
        <v>х</v>
      </c>
      <c r="BD36" s="4" t="str">
        <f t="shared" si="32"/>
        <v>х</v>
      </c>
      <c r="BE36" s="4" t="str">
        <f t="shared" si="32"/>
        <v>х</v>
      </c>
      <c r="BF36" s="4" t="str">
        <f t="shared" si="32"/>
        <v>х</v>
      </c>
      <c r="BG36" s="4" t="str">
        <f t="shared" si="37"/>
        <v>х</v>
      </c>
      <c r="BH36" s="4" t="str">
        <f t="shared" si="37"/>
        <v>х</v>
      </c>
      <c r="BI36" s="4" t="str">
        <f t="shared" si="37"/>
        <v>х</v>
      </c>
      <c r="BJ36" s="4" t="str">
        <f t="shared" si="37"/>
        <v>х</v>
      </c>
      <c r="BK36" s="4" t="str">
        <f t="shared" si="37"/>
        <v>х</v>
      </c>
      <c r="BL36" s="4" t="str">
        <f t="shared" si="37"/>
        <v>х</v>
      </c>
      <c r="BM36" s="4" t="str">
        <f t="shared" si="37"/>
        <v>х</v>
      </c>
      <c r="BN36" s="4" t="str">
        <f t="shared" si="37"/>
        <v>х</v>
      </c>
      <c r="BO36" s="4" t="str">
        <f t="shared" si="37"/>
        <v>х</v>
      </c>
      <c r="BP36" s="4" t="str">
        <f t="shared" si="37"/>
        <v>х</v>
      </c>
      <c r="BQ36" s="4" t="str">
        <f t="shared" si="37"/>
        <v>х</v>
      </c>
      <c r="BR36" s="4" t="str">
        <f>"1980"</f>
        <v>1980</v>
      </c>
      <c r="BS36" s="4" t="str">
        <f>"35,00"</f>
        <v>35,00</v>
      </c>
      <c r="BT36" s="4" t="str">
        <f>"2028-2030"</f>
        <v>2028-2030</v>
      </c>
      <c r="BU36" s="4" t="str">
        <f t="shared" si="5"/>
        <v>нет</v>
      </c>
      <c r="BV36" s="4" t="str">
        <f t="shared" si="34"/>
        <v>x</v>
      </c>
      <c r="BW36" s="4" t="str">
        <f t="shared" si="34"/>
        <v>x</v>
      </c>
      <c r="BX36" s="4" t="str">
        <f t="shared" si="34"/>
        <v>x</v>
      </c>
      <c r="BY36" s="4" t="str">
        <f t="shared" si="7"/>
        <v>нет</v>
      </c>
      <c r="BZ36" s="4" t="str">
        <f t="shared" si="35"/>
        <v>x</v>
      </c>
      <c r="CA36" s="4" t="str">
        <f t="shared" si="35"/>
        <v>x</v>
      </c>
      <c r="CB36" s="4" t="str">
        <f t="shared" si="35"/>
        <v>x</v>
      </c>
      <c r="CC36" s="4" t="str">
        <f>"1980"</f>
        <v>1980</v>
      </c>
      <c r="CD36" s="4" t="str">
        <f>"35,00"</f>
        <v>35,00</v>
      </c>
      <c r="CE36" s="4" t="str">
        <f>"2028-2030"</f>
        <v>2028-2030</v>
      </c>
      <c r="CF36" s="4" t="str">
        <f>"1980"</f>
        <v>1980</v>
      </c>
      <c r="CG36" s="4" t="str">
        <f>"25,00"</f>
        <v>25,00</v>
      </c>
      <c r="CH36" s="4" t="str">
        <f>"2028-2030"</f>
        <v>2028-2030</v>
      </c>
      <c r="CI36" s="4" t="str">
        <f>"32,00"</f>
        <v>32,00</v>
      </c>
      <c r="CJ36" s="4" t="str">
        <f>"2028-2030"</f>
        <v>2028-2030</v>
      </c>
    </row>
    <row r="37" spans="1:88" ht="11.25" customHeight="1">
      <c r="A37" s="45" t="str">
        <f>"24.24"</f>
        <v>24.24</v>
      </c>
      <c r="B37" s="46" t="str">
        <f>"г. Харовск, ул. Архангельская, д.16"</f>
        <v>г. Харовск, ул. Архангельская, д.16</v>
      </c>
      <c r="C37" s="6" t="str">
        <f>"1932"</f>
        <v>1932</v>
      </c>
      <c r="D37" s="4" t="str">
        <f>"1932"</f>
        <v>1932</v>
      </c>
      <c r="E37" s="4" t="str">
        <f>"15,00"</f>
        <v>15,00</v>
      </c>
      <c r="F37" s="4" t="str">
        <f>"2019-2021"</f>
        <v>2019-2021</v>
      </c>
      <c r="G37" s="4" t="str">
        <f>"да"</f>
        <v>да</v>
      </c>
      <c r="H37" s="4" t="str">
        <f>"2012"</f>
        <v>2012</v>
      </c>
      <c r="I37" s="4" t="str">
        <f>"12,50"</f>
        <v>12,50</v>
      </c>
      <c r="J37" s="4" t="str">
        <f>"2019-2021"</f>
        <v>2019-2021</v>
      </c>
      <c r="K37" s="4" t="str">
        <f t="shared" si="1"/>
        <v>нет</v>
      </c>
      <c r="L37" s="4" t="str">
        <f>""</f>
        <v/>
      </c>
      <c r="M37" s="4" t="str">
        <f>""</f>
        <v/>
      </c>
      <c r="N37" s="4" t="str">
        <f>""</f>
        <v/>
      </c>
      <c r="O37" s="7" t="str">
        <f t="shared" si="36"/>
        <v>х</v>
      </c>
      <c r="P37" s="4" t="str">
        <f t="shared" si="36"/>
        <v>х</v>
      </c>
      <c r="Q37" s="4" t="str">
        <f t="shared" si="36"/>
        <v>х</v>
      </c>
      <c r="R37" s="4" t="str">
        <f t="shared" si="36"/>
        <v>х</v>
      </c>
      <c r="S37" s="4" t="str">
        <f t="shared" si="36"/>
        <v>х</v>
      </c>
      <c r="T37" s="4" t="str">
        <f t="shared" si="36"/>
        <v>х</v>
      </c>
      <c r="U37" s="4" t="str">
        <f t="shared" si="36"/>
        <v>х</v>
      </c>
      <c r="V37" s="4" t="str">
        <f t="shared" si="36"/>
        <v>х</v>
      </c>
      <c r="W37" s="4" t="str">
        <f t="shared" si="36"/>
        <v>х</v>
      </c>
      <c r="X37" s="4" t="str">
        <f t="shared" si="36"/>
        <v>х</v>
      </c>
      <c r="Y37" s="8" t="str">
        <f t="shared" si="36"/>
        <v>х</v>
      </c>
      <c r="Z37" s="4" t="str">
        <f t="shared" si="33"/>
        <v>х</v>
      </c>
      <c r="AA37" s="4" t="str">
        <f t="shared" si="33"/>
        <v>х</v>
      </c>
      <c r="AB37" s="4" t="str">
        <f t="shared" si="33"/>
        <v>х</v>
      </c>
      <c r="AC37" s="4" t="str">
        <f t="shared" si="33"/>
        <v>х</v>
      </c>
      <c r="AD37" s="4" t="str">
        <f t="shared" si="33"/>
        <v>х</v>
      </c>
      <c r="AE37" s="4" t="str">
        <f t="shared" si="33"/>
        <v>х</v>
      </c>
      <c r="AF37" s="4" t="str">
        <f t="shared" si="33"/>
        <v>х</v>
      </c>
      <c r="AG37" s="4" t="str">
        <f t="shared" si="33"/>
        <v>х</v>
      </c>
      <c r="AH37" s="4" t="str">
        <f t="shared" si="33"/>
        <v>х</v>
      </c>
      <c r="AI37" s="4" t="str">
        <f t="shared" si="33"/>
        <v>х</v>
      </c>
      <c r="AJ37" s="4" t="str">
        <f t="shared" si="33"/>
        <v>х</v>
      </c>
      <c r="AK37" s="7" t="str">
        <f t="shared" ref="AK37:AU37" si="38">"х"</f>
        <v>х</v>
      </c>
      <c r="AL37" s="4" t="str">
        <f t="shared" si="38"/>
        <v>х</v>
      </c>
      <c r="AM37" s="4" t="str">
        <f t="shared" si="38"/>
        <v>х</v>
      </c>
      <c r="AN37" s="4" t="str">
        <f t="shared" si="38"/>
        <v>х</v>
      </c>
      <c r="AO37" s="4" t="str">
        <f t="shared" si="38"/>
        <v>х</v>
      </c>
      <c r="AP37" s="4" t="str">
        <f t="shared" si="38"/>
        <v>х</v>
      </c>
      <c r="AQ37" s="4" t="str">
        <f t="shared" si="38"/>
        <v>х</v>
      </c>
      <c r="AR37" s="4" t="str">
        <f t="shared" si="38"/>
        <v>х</v>
      </c>
      <c r="AS37" s="4" t="str">
        <f t="shared" si="38"/>
        <v>х</v>
      </c>
      <c r="AT37" s="4" t="str">
        <f t="shared" si="38"/>
        <v>х</v>
      </c>
      <c r="AU37" s="4" t="str">
        <f t="shared" si="38"/>
        <v>х</v>
      </c>
      <c r="AV37" s="4" t="str">
        <f t="shared" si="32"/>
        <v>х</v>
      </c>
      <c r="AW37" s="4" t="str">
        <f t="shared" si="32"/>
        <v>х</v>
      </c>
      <c r="AX37" s="4" t="str">
        <f t="shared" si="32"/>
        <v>х</v>
      </c>
      <c r="AY37" s="4" t="str">
        <f t="shared" si="32"/>
        <v>х</v>
      </c>
      <c r="AZ37" s="4" t="str">
        <f t="shared" si="32"/>
        <v>х</v>
      </c>
      <c r="BA37" s="4" t="str">
        <f t="shared" si="32"/>
        <v>х</v>
      </c>
      <c r="BB37" s="4" t="str">
        <f t="shared" si="32"/>
        <v>х</v>
      </c>
      <c r="BC37" s="4" t="str">
        <f t="shared" si="32"/>
        <v>х</v>
      </c>
      <c r="BD37" s="4" t="str">
        <f t="shared" si="32"/>
        <v>х</v>
      </c>
      <c r="BE37" s="4" t="str">
        <f t="shared" si="32"/>
        <v>х</v>
      </c>
      <c r="BF37" s="4" t="str">
        <f t="shared" si="32"/>
        <v>х</v>
      </c>
      <c r="BG37" s="4" t="str">
        <f t="shared" si="37"/>
        <v>х</v>
      </c>
      <c r="BH37" s="4" t="str">
        <f t="shared" si="37"/>
        <v>х</v>
      </c>
      <c r="BI37" s="4" t="str">
        <f t="shared" si="37"/>
        <v>х</v>
      </c>
      <c r="BJ37" s="4" t="str">
        <f t="shared" si="37"/>
        <v>х</v>
      </c>
      <c r="BK37" s="4" t="str">
        <f t="shared" si="37"/>
        <v>х</v>
      </c>
      <c r="BL37" s="4" t="str">
        <f t="shared" si="37"/>
        <v>х</v>
      </c>
      <c r="BM37" s="4" t="str">
        <f t="shared" si="37"/>
        <v>х</v>
      </c>
      <c r="BN37" s="4" t="str">
        <f t="shared" si="37"/>
        <v>х</v>
      </c>
      <c r="BO37" s="4" t="str">
        <f t="shared" si="37"/>
        <v>х</v>
      </c>
      <c r="BP37" s="4" t="str">
        <f t="shared" si="37"/>
        <v>х</v>
      </c>
      <c r="BQ37" s="4" t="str">
        <f t="shared" si="37"/>
        <v>х</v>
      </c>
      <c r="BR37" s="4" t="str">
        <f>"1932"</f>
        <v>1932</v>
      </c>
      <c r="BS37" s="4" t="str">
        <f>"15,00"</f>
        <v>15,00</v>
      </c>
      <c r="BT37" s="4" t="str">
        <f>"2019-2021"</f>
        <v>2019-2021</v>
      </c>
      <c r="BU37" s="4" t="str">
        <f t="shared" si="5"/>
        <v>нет</v>
      </c>
      <c r="BV37" s="4" t="str">
        <f t="shared" si="34"/>
        <v>x</v>
      </c>
      <c r="BW37" s="4" t="str">
        <f t="shared" si="34"/>
        <v>x</v>
      </c>
      <c r="BX37" s="4" t="str">
        <f t="shared" si="34"/>
        <v>x</v>
      </c>
      <c r="BY37" s="4" t="str">
        <f t="shared" si="7"/>
        <v>нет</v>
      </c>
      <c r="BZ37" s="4" t="str">
        <f t="shared" si="35"/>
        <v>x</v>
      </c>
      <c r="CA37" s="4" t="str">
        <f t="shared" si="35"/>
        <v>x</v>
      </c>
      <c r="CB37" s="4" t="str">
        <f t="shared" si="35"/>
        <v>x</v>
      </c>
      <c r="CC37" s="4" t="str">
        <f>"1932"</f>
        <v>1932</v>
      </c>
      <c r="CD37" s="4" t="str">
        <f>"35,00"</f>
        <v>35,00</v>
      </c>
      <c r="CE37" s="4" t="str">
        <f>"2025-2027"</f>
        <v>2025-2027</v>
      </c>
      <c r="CF37" s="4" t="str">
        <f>"1932"</f>
        <v>1932</v>
      </c>
      <c r="CG37" s="4" t="str">
        <f>"50,00"</f>
        <v>50,00</v>
      </c>
      <c r="CH37" s="4" t="str">
        <f>"2025-2027"</f>
        <v>2025-2027</v>
      </c>
      <c r="CI37" s="4" t="str">
        <f>"30,00"</f>
        <v>30,00</v>
      </c>
      <c r="CJ37" s="4" t="str">
        <f>"2019-2021"</f>
        <v>2019-2021</v>
      </c>
    </row>
    <row r="38" spans="1:88" ht="11.25" customHeight="1">
      <c r="A38" s="45" t="str">
        <f>"24.25"</f>
        <v>24.25</v>
      </c>
      <c r="B38" s="46" t="str">
        <f>"г. Харовск, ул. Ворошилова, д.20"</f>
        <v>г. Харовск, ул. Ворошилова, д.20</v>
      </c>
      <c r="C38" s="6" t="str">
        <f>"1979"</f>
        <v>1979</v>
      </c>
      <c r="D38" s="4" t="str">
        <f>"1979"</f>
        <v>1979</v>
      </c>
      <c r="E38" s="4" t="str">
        <f>"35,00"</f>
        <v>35,00</v>
      </c>
      <c r="F38" s="4" t="str">
        <f>"2028-2030"</f>
        <v>2028-2030</v>
      </c>
      <c r="G38" s="4" t="str">
        <f>"да"</f>
        <v>да</v>
      </c>
      <c r="H38" s="4" t="str">
        <f>"2013"</f>
        <v>2013</v>
      </c>
      <c r="I38" s="4" t="str">
        <f>"1,00"</f>
        <v>1,00</v>
      </c>
      <c r="J38" s="4" t="str">
        <f>"2028-2030"</f>
        <v>2028-2030</v>
      </c>
      <c r="K38" s="4" t="str">
        <f t="shared" si="1"/>
        <v>нет</v>
      </c>
      <c r="L38" s="4" t="str">
        <f>""</f>
        <v/>
      </c>
      <c r="M38" s="4" t="str">
        <f>""</f>
        <v/>
      </c>
      <c r="N38" s="4" t="str">
        <f>""</f>
        <v/>
      </c>
      <c r="O38" s="7" t="str">
        <f>"1979"</f>
        <v>1979</v>
      </c>
      <c r="P38" s="4" t="str">
        <f>"35,00"</f>
        <v>35,00</v>
      </c>
      <c r="Q38" s="4" t="str">
        <f>"2028-2030"</f>
        <v>2028-2030</v>
      </c>
      <c r="R38" s="4" t="str">
        <f>"нет"</f>
        <v>нет</v>
      </c>
      <c r="S38" s="4" t="str">
        <f>""</f>
        <v/>
      </c>
      <c r="T38" s="4" t="str">
        <f>""</f>
        <v/>
      </c>
      <c r="U38" s="4" t="str">
        <f>""</f>
        <v/>
      </c>
      <c r="V38" s="4" t="str">
        <f t="shared" ref="V38:V62" si="39">"нет"</f>
        <v>нет</v>
      </c>
      <c r="W38" s="4" t="str">
        <f>""</f>
        <v/>
      </c>
      <c r="X38" s="4" t="str">
        <f>""</f>
        <v/>
      </c>
      <c r="Y38" s="8" t="str">
        <f>""</f>
        <v/>
      </c>
      <c r="Z38" s="4" t="str">
        <f t="shared" si="33"/>
        <v>х</v>
      </c>
      <c r="AA38" s="4" t="str">
        <f t="shared" si="33"/>
        <v>х</v>
      </c>
      <c r="AB38" s="4" t="str">
        <f t="shared" si="33"/>
        <v>х</v>
      </c>
      <c r="AC38" s="4" t="str">
        <f t="shared" si="33"/>
        <v>х</v>
      </c>
      <c r="AD38" s="4" t="str">
        <f t="shared" si="33"/>
        <v>х</v>
      </c>
      <c r="AE38" s="4" t="str">
        <f t="shared" si="33"/>
        <v>х</v>
      </c>
      <c r="AF38" s="4" t="str">
        <f t="shared" si="33"/>
        <v>х</v>
      </c>
      <c r="AG38" s="4" t="str">
        <f t="shared" si="33"/>
        <v>х</v>
      </c>
      <c r="AH38" s="4" t="str">
        <f t="shared" si="33"/>
        <v>х</v>
      </c>
      <c r="AI38" s="4" t="str">
        <f t="shared" si="33"/>
        <v>х</v>
      </c>
      <c r="AJ38" s="4" t="str">
        <f t="shared" si="33"/>
        <v>х</v>
      </c>
      <c r="AK38" s="7" t="str">
        <f>"1979"</f>
        <v>1979</v>
      </c>
      <c r="AL38" s="4" t="str">
        <f>"35,00"</f>
        <v>35,00</v>
      </c>
      <c r="AM38" s="4" t="str">
        <f>"2028-2030"</f>
        <v>2028-2030</v>
      </c>
      <c r="AN38" s="4" t="str">
        <f>"да"</f>
        <v>да</v>
      </c>
      <c r="AO38" s="4" t="str">
        <f>"2013"</f>
        <v>2013</v>
      </c>
      <c r="AP38" s="4" t="str">
        <f>"0,00"</f>
        <v>0,00</v>
      </c>
      <c r="AQ38" s="4" t="str">
        <f>"2028-2030"</f>
        <v>2028-2030</v>
      </c>
      <c r="AR38" s="4" t="str">
        <f t="shared" ref="AR38:AR62" si="40">"нет"</f>
        <v>нет</v>
      </c>
      <c r="AS38" s="4" t="str">
        <f>""</f>
        <v/>
      </c>
      <c r="AT38" s="4" t="str">
        <f>""</f>
        <v/>
      </c>
      <c r="AU38" s="4" t="str">
        <f>""</f>
        <v/>
      </c>
      <c r="AV38" s="4" t="str">
        <f t="shared" si="32"/>
        <v>х</v>
      </c>
      <c r="AW38" s="4" t="str">
        <f t="shared" si="32"/>
        <v>х</v>
      </c>
      <c r="AX38" s="4" t="str">
        <f t="shared" si="32"/>
        <v>х</v>
      </c>
      <c r="AY38" s="4" t="str">
        <f t="shared" si="32"/>
        <v>х</v>
      </c>
      <c r="AZ38" s="4" t="str">
        <f t="shared" si="32"/>
        <v>х</v>
      </c>
      <c r="BA38" s="4" t="str">
        <f t="shared" si="32"/>
        <v>х</v>
      </c>
      <c r="BB38" s="4" t="str">
        <f t="shared" si="32"/>
        <v>х</v>
      </c>
      <c r="BC38" s="4" t="str">
        <f t="shared" si="32"/>
        <v>х</v>
      </c>
      <c r="BD38" s="4" t="str">
        <f t="shared" si="32"/>
        <v>х</v>
      </c>
      <c r="BE38" s="4" t="str">
        <f t="shared" si="32"/>
        <v>х</v>
      </c>
      <c r="BF38" s="4" t="str">
        <f t="shared" si="32"/>
        <v>х</v>
      </c>
      <c r="BG38" s="4" t="str">
        <f>"1979"</f>
        <v>1979</v>
      </c>
      <c r="BH38" s="4" t="str">
        <f>"35,00"</f>
        <v>35,00</v>
      </c>
      <c r="BI38" s="4" t="str">
        <f>"2028-2030"</f>
        <v>2028-2030</v>
      </c>
      <c r="BJ38" s="4" t="str">
        <f t="shared" ref="BJ38:BJ62" si="41">"нет"</f>
        <v>нет</v>
      </c>
      <c r="BK38" s="4" t="str">
        <f>""</f>
        <v/>
      </c>
      <c r="BL38" s="4" t="str">
        <f>""</f>
        <v/>
      </c>
      <c r="BM38" s="4" t="str">
        <f>""</f>
        <v/>
      </c>
      <c r="BN38" s="4" t="str">
        <f t="shared" ref="BN38:BN62" si="42">"нет"</f>
        <v>нет</v>
      </c>
      <c r="BO38" s="4" t="str">
        <f>""</f>
        <v/>
      </c>
      <c r="BP38" s="4" t="str">
        <f>""</f>
        <v/>
      </c>
      <c r="BQ38" s="4" t="str">
        <f>""</f>
        <v/>
      </c>
      <c r="BR38" s="4" t="str">
        <f>"2012"</f>
        <v>2012</v>
      </c>
      <c r="BS38" s="4" t="str">
        <f>"0,00"</f>
        <v>0,00</v>
      </c>
      <c r="BT38" s="4" t="str">
        <f>"2028-2030"</f>
        <v>2028-2030</v>
      </c>
      <c r="BU38" s="4" t="str">
        <f t="shared" si="5"/>
        <v>нет</v>
      </c>
      <c r="BV38" s="4" t="str">
        <f t="shared" si="34"/>
        <v>x</v>
      </c>
      <c r="BW38" s="4" t="str">
        <f t="shared" si="34"/>
        <v>x</v>
      </c>
      <c r="BX38" s="4" t="str">
        <f t="shared" si="34"/>
        <v>x</v>
      </c>
      <c r="BY38" s="4" t="str">
        <f t="shared" si="7"/>
        <v>нет</v>
      </c>
      <c r="BZ38" s="4" t="str">
        <f t="shared" si="35"/>
        <v>x</v>
      </c>
      <c r="CA38" s="4" t="str">
        <f t="shared" si="35"/>
        <v>x</v>
      </c>
      <c r="CB38" s="4" t="str">
        <f t="shared" si="35"/>
        <v>x</v>
      </c>
      <c r="CC38" s="4" t="str">
        <f>"1979"</f>
        <v>1979</v>
      </c>
      <c r="CD38" s="4" t="str">
        <f>"35,00"</f>
        <v>35,00</v>
      </c>
      <c r="CE38" s="4" t="str">
        <f>"2028-2030"</f>
        <v>2028-2030</v>
      </c>
      <c r="CF38" s="4" t="str">
        <f>"1979"</f>
        <v>1979</v>
      </c>
      <c r="CG38" s="4" t="str">
        <f>"30,00"</f>
        <v>30,00</v>
      </c>
      <c r="CH38" s="4" t="str">
        <f>"2028-2030"</f>
        <v>2028-2030</v>
      </c>
      <c r="CI38" s="4" t="str">
        <f>"22,00"</f>
        <v>22,00</v>
      </c>
      <c r="CJ38" s="4" t="str">
        <f>"2028-2030"</f>
        <v>2028-2030</v>
      </c>
    </row>
    <row r="39" spans="1:88" ht="11.25" customHeight="1">
      <c r="A39" s="45" t="str">
        <f>"24.26"</f>
        <v>24.26</v>
      </c>
      <c r="B39" s="46" t="str">
        <f>"г. Харовск, ул. Ворошилова, д.26"</f>
        <v>г. Харовск, ул. Ворошилова, д.26</v>
      </c>
      <c r="C39" s="6" t="str">
        <f>"1976"</f>
        <v>1976</v>
      </c>
      <c r="D39" s="4" t="str">
        <f>"1976"</f>
        <v>1976</v>
      </c>
      <c r="E39" s="4" t="str">
        <f>"40,00"</f>
        <v>40,00</v>
      </c>
      <c r="F39" s="4" t="str">
        <f>"2027-2029"</f>
        <v>2027-2029</v>
      </c>
      <c r="G39" s="4" t="str">
        <f t="shared" ref="G39:G54" si="43">"нет"</f>
        <v>нет</v>
      </c>
      <c r="H39" s="4" t="str">
        <f>""</f>
        <v/>
      </c>
      <c r="I39" s="4" t="str">
        <f>""</f>
        <v/>
      </c>
      <c r="J39" s="4" t="str">
        <f>""</f>
        <v/>
      </c>
      <c r="K39" s="4" t="str">
        <f t="shared" si="1"/>
        <v>нет</v>
      </c>
      <c r="L39" s="4" t="str">
        <f>""</f>
        <v/>
      </c>
      <c r="M39" s="4" t="str">
        <f>""</f>
        <v/>
      </c>
      <c r="N39" s="4" t="str">
        <f>""</f>
        <v/>
      </c>
      <c r="O39" s="7" t="str">
        <f>"1976"</f>
        <v>1976</v>
      </c>
      <c r="P39" s="4" t="str">
        <f>"40,00"</f>
        <v>40,00</v>
      </c>
      <c r="Q39" s="4" t="str">
        <f>"2027-2029"</f>
        <v>2027-2029</v>
      </c>
      <c r="R39" s="4" t="str">
        <f>"да"</f>
        <v>да</v>
      </c>
      <c r="S39" s="4" t="str">
        <f>"2010"</f>
        <v>2010</v>
      </c>
      <c r="T39" s="4" t="str">
        <f>"75,00"</f>
        <v>75,00</v>
      </c>
      <c r="U39" s="4" t="str">
        <f>"2027-2029"</f>
        <v>2027-2029</v>
      </c>
      <c r="V39" s="4" t="str">
        <f t="shared" si="39"/>
        <v>нет</v>
      </c>
      <c r="W39" s="4" t="str">
        <f>""</f>
        <v/>
      </c>
      <c r="X39" s="4" t="str">
        <f>""</f>
        <v/>
      </c>
      <c r="Y39" s="8" t="str">
        <f>""</f>
        <v/>
      </c>
      <c r="Z39" s="4" t="str">
        <f t="shared" si="33"/>
        <v>х</v>
      </c>
      <c r="AA39" s="4" t="str">
        <f t="shared" si="33"/>
        <v>х</v>
      </c>
      <c r="AB39" s="4" t="str">
        <f t="shared" si="33"/>
        <v>х</v>
      </c>
      <c r="AC39" s="4" t="str">
        <f t="shared" si="33"/>
        <v>х</v>
      </c>
      <c r="AD39" s="4" t="str">
        <f t="shared" si="33"/>
        <v>х</v>
      </c>
      <c r="AE39" s="4" t="str">
        <f t="shared" si="33"/>
        <v>х</v>
      </c>
      <c r="AF39" s="4" t="str">
        <f t="shared" si="33"/>
        <v>х</v>
      </c>
      <c r="AG39" s="4" t="str">
        <f t="shared" si="33"/>
        <v>х</v>
      </c>
      <c r="AH39" s="4" t="str">
        <f t="shared" si="33"/>
        <v>х</v>
      </c>
      <c r="AI39" s="4" t="str">
        <f t="shared" si="33"/>
        <v>х</v>
      </c>
      <c r="AJ39" s="4" t="str">
        <f t="shared" si="33"/>
        <v>х</v>
      </c>
      <c r="AK39" s="7" t="str">
        <f>"1976"</f>
        <v>1976</v>
      </c>
      <c r="AL39" s="4" t="str">
        <f>"40,00"</f>
        <v>40,00</v>
      </c>
      <c r="AM39" s="4" t="str">
        <f>"2027-2029"</f>
        <v>2027-2029</v>
      </c>
      <c r="AN39" s="4" t="str">
        <f>"нет"</f>
        <v>нет</v>
      </c>
      <c r="AO39" s="4" t="str">
        <f>""</f>
        <v/>
      </c>
      <c r="AP39" s="4" t="str">
        <f>""</f>
        <v/>
      </c>
      <c r="AQ39" s="4" t="str">
        <f>""</f>
        <v/>
      </c>
      <c r="AR39" s="4" t="str">
        <f t="shared" si="40"/>
        <v>нет</v>
      </c>
      <c r="AS39" s="4" t="str">
        <f>""</f>
        <v/>
      </c>
      <c r="AT39" s="4" t="str">
        <f>""</f>
        <v/>
      </c>
      <c r="AU39" s="4" t="str">
        <f>""</f>
        <v/>
      </c>
      <c r="AV39" s="4" t="str">
        <f>"1976"</f>
        <v>1976</v>
      </c>
      <c r="AW39" s="4" t="str">
        <f>"40,00"</f>
        <v>40,00</v>
      </c>
      <c r="AX39" s="4" t="str">
        <f>"2027-2029"</f>
        <v>2027-2029</v>
      </c>
      <c r="AY39" s="4" t="str">
        <f>"нет"</f>
        <v>нет</v>
      </c>
      <c r="AZ39" s="4" t="str">
        <f t="shared" ref="AZ39:BB40" si="44">"х"</f>
        <v>х</v>
      </c>
      <c r="BA39" s="4" t="str">
        <f t="shared" si="44"/>
        <v>х</v>
      </c>
      <c r="BB39" s="4" t="str">
        <f t="shared" si="44"/>
        <v>х</v>
      </c>
      <c r="BC39" s="4" t="str">
        <f>"нет"</f>
        <v>нет</v>
      </c>
      <c r="BD39" s="4" t="str">
        <f t="shared" ref="BD39:BF40" si="45">"х"</f>
        <v>х</v>
      </c>
      <c r="BE39" s="4" t="str">
        <f t="shared" si="45"/>
        <v>х</v>
      </c>
      <c r="BF39" s="4" t="str">
        <f t="shared" si="45"/>
        <v>х</v>
      </c>
      <c r="BG39" s="4" t="str">
        <f>"1976"</f>
        <v>1976</v>
      </c>
      <c r="BH39" s="4" t="str">
        <f>"40,00"</f>
        <v>40,00</v>
      </c>
      <c r="BI39" s="4" t="str">
        <f>"2027-2029"</f>
        <v>2027-2029</v>
      </c>
      <c r="BJ39" s="4" t="str">
        <f t="shared" si="41"/>
        <v>нет</v>
      </c>
      <c r="BK39" s="4" t="str">
        <f>""</f>
        <v/>
      </c>
      <c r="BL39" s="4" t="str">
        <f>""</f>
        <v/>
      </c>
      <c r="BM39" s="4" t="str">
        <f>""</f>
        <v/>
      </c>
      <c r="BN39" s="4" t="str">
        <f t="shared" si="42"/>
        <v>нет</v>
      </c>
      <c r="BO39" s="4" t="str">
        <f>""</f>
        <v/>
      </c>
      <c r="BP39" s="4" t="str">
        <f>""</f>
        <v/>
      </c>
      <c r="BQ39" s="4" t="str">
        <f>""</f>
        <v/>
      </c>
      <c r="BR39" s="4" t="str">
        <f>"1976"</f>
        <v>1976</v>
      </c>
      <c r="BS39" s="4" t="str">
        <f>"50,00"</f>
        <v>50,00</v>
      </c>
      <c r="BT39" s="4" t="str">
        <f>"2027-2029"</f>
        <v>2027-2029</v>
      </c>
      <c r="BU39" s="4" t="str">
        <f t="shared" si="5"/>
        <v>нет</v>
      </c>
      <c r="BV39" s="4" t="str">
        <f t="shared" si="34"/>
        <v>x</v>
      </c>
      <c r="BW39" s="4" t="str">
        <f t="shared" si="34"/>
        <v>x</v>
      </c>
      <c r="BX39" s="4" t="str">
        <f t="shared" si="34"/>
        <v>x</v>
      </c>
      <c r="BY39" s="4" t="str">
        <f t="shared" si="7"/>
        <v>нет</v>
      </c>
      <c r="BZ39" s="4" t="str">
        <f t="shared" si="35"/>
        <v>x</v>
      </c>
      <c r="CA39" s="4" t="str">
        <f t="shared" si="35"/>
        <v>x</v>
      </c>
      <c r="CB39" s="4" t="str">
        <f t="shared" si="35"/>
        <v>x</v>
      </c>
      <c r="CC39" s="4" t="str">
        <f>"1976"</f>
        <v>1976</v>
      </c>
      <c r="CD39" s="4" t="str">
        <f>"35,00"</f>
        <v>35,00</v>
      </c>
      <c r="CE39" s="4" t="str">
        <f>"2027-2029"</f>
        <v>2027-2029</v>
      </c>
      <c r="CF39" s="4" t="str">
        <f>"1976"</f>
        <v>1976</v>
      </c>
      <c r="CG39" s="4" t="str">
        <f>"30,00"</f>
        <v>30,00</v>
      </c>
      <c r="CH39" s="4" t="str">
        <f>"2027-2029"</f>
        <v>2027-2029</v>
      </c>
      <c r="CI39" s="4" t="str">
        <f>"39,00"</f>
        <v>39,00</v>
      </c>
      <c r="CJ39" s="4" t="str">
        <f>"2027-2029"</f>
        <v>2027-2029</v>
      </c>
    </row>
    <row r="40" spans="1:88" ht="11.25" customHeight="1">
      <c r="A40" s="45" t="str">
        <f>"24.27"</f>
        <v>24.27</v>
      </c>
      <c r="B40" s="46" t="str">
        <f>"г. Харовск, ул. Восточная, д.2"</f>
        <v>г. Харовск, ул. Восточная, д.2</v>
      </c>
      <c r="C40" s="6" t="str">
        <f>"1974"</f>
        <v>1974</v>
      </c>
      <c r="D40" s="4" t="str">
        <f>"1974"</f>
        <v>1974</v>
      </c>
      <c r="E40" s="4" t="str">
        <f>"55,00"</f>
        <v>55,00</v>
      </c>
      <c r="F40" s="4" t="str">
        <f>"2026-2028"</f>
        <v>2026-2028</v>
      </c>
      <c r="G40" s="4" t="str">
        <f t="shared" si="43"/>
        <v>нет</v>
      </c>
      <c r="H40" s="4" t="str">
        <f>""</f>
        <v/>
      </c>
      <c r="I40" s="4" t="str">
        <f>""</f>
        <v/>
      </c>
      <c r="J40" s="4" t="str">
        <f>""</f>
        <v/>
      </c>
      <c r="K40" s="4" t="str">
        <f t="shared" si="1"/>
        <v>нет</v>
      </c>
      <c r="L40" s="4" t="str">
        <f>""</f>
        <v/>
      </c>
      <c r="M40" s="4" t="str">
        <f>""</f>
        <v/>
      </c>
      <c r="N40" s="4" t="str">
        <f>""</f>
        <v/>
      </c>
      <c r="O40" s="7" t="str">
        <f>"1974"</f>
        <v>1974</v>
      </c>
      <c r="P40" s="4" t="str">
        <f>"55,00"</f>
        <v>55,00</v>
      </c>
      <c r="Q40" s="4" t="str">
        <f>"2026-2028"</f>
        <v>2026-2028</v>
      </c>
      <c r="R40" s="4" t="str">
        <f>"нет"</f>
        <v>нет</v>
      </c>
      <c r="S40" s="4" t="str">
        <f>""</f>
        <v/>
      </c>
      <c r="T40" s="4" t="str">
        <f>""</f>
        <v/>
      </c>
      <c r="U40" s="4" t="str">
        <f>""</f>
        <v/>
      </c>
      <c r="V40" s="4" t="str">
        <f t="shared" si="39"/>
        <v>нет</v>
      </c>
      <c r="W40" s="4" t="str">
        <f>""</f>
        <v/>
      </c>
      <c r="X40" s="4" t="str">
        <f>""</f>
        <v/>
      </c>
      <c r="Y40" s="8" t="str">
        <f>""</f>
        <v/>
      </c>
      <c r="Z40" s="4" t="str">
        <f t="shared" si="33"/>
        <v>х</v>
      </c>
      <c r="AA40" s="4" t="str">
        <f t="shared" si="33"/>
        <v>х</v>
      </c>
      <c r="AB40" s="4" t="str">
        <f t="shared" si="33"/>
        <v>х</v>
      </c>
      <c r="AC40" s="4" t="str">
        <f t="shared" si="33"/>
        <v>х</v>
      </c>
      <c r="AD40" s="4" t="str">
        <f t="shared" si="33"/>
        <v>х</v>
      </c>
      <c r="AE40" s="4" t="str">
        <f t="shared" si="33"/>
        <v>х</v>
      </c>
      <c r="AF40" s="4" t="str">
        <f t="shared" si="33"/>
        <v>х</v>
      </c>
      <c r="AG40" s="4" t="str">
        <f t="shared" si="33"/>
        <v>х</v>
      </c>
      <c r="AH40" s="4" t="str">
        <f t="shared" si="33"/>
        <v>х</v>
      </c>
      <c r="AI40" s="4" t="str">
        <f t="shared" si="33"/>
        <v>х</v>
      </c>
      <c r="AJ40" s="4" t="str">
        <f t="shared" si="33"/>
        <v>х</v>
      </c>
      <c r="AK40" s="7" t="str">
        <f>"1974"</f>
        <v>1974</v>
      </c>
      <c r="AL40" s="4" t="str">
        <f>"55,00"</f>
        <v>55,00</v>
      </c>
      <c r="AM40" s="4" t="str">
        <f>"2026-2028"</f>
        <v>2026-2028</v>
      </c>
      <c r="AN40" s="4" t="str">
        <f>"нет"</f>
        <v>нет</v>
      </c>
      <c r="AO40" s="4" t="str">
        <f>""</f>
        <v/>
      </c>
      <c r="AP40" s="4" t="str">
        <f>""</f>
        <v/>
      </c>
      <c r="AQ40" s="4" t="str">
        <f>""</f>
        <v/>
      </c>
      <c r="AR40" s="4" t="str">
        <f t="shared" si="40"/>
        <v>нет</v>
      </c>
      <c r="AS40" s="4" t="str">
        <f>""</f>
        <v/>
      </c>
      <c r="AT40" s="4" t="str">
        <f>""</f>
        <v/>
      </c>
      <c r="AU40" s="4" t="str">
        <f>""</f>
        <v/>
      </c>
      <c r="AV40" s="4" t="str">
        <f>"х"</f>
        <v>х</v>
      </c>
      <c r="AW40" s="4" t="str">
        <f>"х"</f>
        <v>х</v>
      </c>
      <c r="AX40" s="4" t="str">
        <f>"х"</f>
        <v>х</v>
      </c>
      <c r="AY40" s="4" t="str">
        <f>"х"</f>
        <v>х</v>
      </c>
      <c r="AZ40" s="4" t="str">
        <f t="shared" si="44"/>
        <v>х</v>
      </c>
      <c r="BA40" s="4" t="str">
        <f t="shared" si="44"/>
        <v>х</v>
      </c>
      <c r="BB40" s="4" t="str">
        <f t="shared" si="44"/>
        <v>х</v>
      </c>
      <c r="BC40" s="4" t="str">
        <f>"х"</f>
        <v>х</v>
      </c>
      <c r="BD40" s="4" t="str">
        <f t="shared" si="45"/>
        <v>х</v>
      </c>
      <c r="BE40" s="4" t="str">
        <f t="shared" si="45"/>
        <v>х</v>
      </c>
      <c r="BF40" s="4" t="str">
        <f t="shared" si="45"/>
        <v>х</v>
      </c>
      <c r="BG40" s="4" t="str">
        <f>"1974"</f>
        <v>1974</v>
      </c>
      <c r="BH40" s="4" t="str">
        <f>"55,00"</f>
        <v>55,00</v>
      </c>
      <c r="BI40" s="4" t="str">
        <f>"2026-2028"</f>
        <v>2026-2028</v>
      </c>
      <c r="BJ40" s="4" t="str">
        <f t="shared" si="41"/>
        <v>нет</v>
      </c>
      <c r="BK40" s="4" t="str">
        <f>""</f>
        <v/>
      </c>
      <c r="BL40" s="4" t="str">
        <f>""</f>
        <v/>
      </c>
      <c r="BM40" s="4" t="str">
        <f>""</f>
        <v/>
      </c>
      <c r="BN40" s="4" t="str">
        <f t="shared" si="42"/>
        <v>нет</v>
      </c>
      <c r="BO40" s="4" t="str">
        <f>""</f>
        <v/>
      </c>
      <c r="BP40" s="4" t="str">
        <f>""</f>
        <v/>
      </c>
      <c r="BQ40" s="4" t="str">
        <f>""</f>
        <v/>
      </c>
      <c r="BR40" s="4" t="str">
        <f>"1974"</f>
        <v>1974</v>
      </c>
      <c r="BS40" s="4" t="str">
        <f>"60,00"</f>
        <v>60,00</v>
      </c>
      <c r="BT40" s="4" t="str">
        <f>"2026-2028"</f>
        <v>2026-2028</v>
      </c>
      <c r="BU40" s="4" t="str">
        <f t="shared" si="5"/>
        <v>нет</v>
      </c>
      <c r="BV40" s="4" t="str">
        <f t="shared" si="34"/>
        <v>x</v>
      </c>
      <c r="BW40" s="4" t="str">
        <f t="shared" si="34"/>
        <v>x</v>
      </c>
      <c r="BX40" s="4" t="str">
        <f t="shared" si="34"/>
        <v>x</v>
      </c>
      <c r="BY40" s="4" t="str">
        <f t="shared" si="7"/>
        <v>нет</v>
      </c>
      <c r="BZ40" s="4" t="str">
        <f t="shared" si="35"/>
        <v>x</v>
      </c>
      <c r="CA40" s="4" t="str">
        <f t="shared" si="35"/>
        <v>x</v>
      </c>
      <c r="CB40" s="4" t="str">
        <f t="shared" si="35"/>
        <v>x</v>
      </c>
      <c r="CC40" s="4" t="str">
        <f>"1974"</f>
        <v>1974</v>
      </c>
      <c r="CD40" s="4" t="str">
        <f>"55,00"</f>
        <v>55,00</v>
      </c>
      <c r="CE40" s="4" t="str">
        <f>"2026-2028"</f>
        <v>2026-2028</v>
      </c>
      <c r="CF40" s="4" t="str">
        <f>"1974"</f>
        <v>1974</v>
      </c>
      <c r="CG40" s="4" t="str">
        <f>"50,00"</f>
        <v>50,00</v>
      </c>
      <c r="CH40" s="4" t="str">
        <f>"2026-2028"</f>
        <v>2026-2028</v>
      </c>
      <c r="CI40" s="4" t="str">
        <f>"47,00"</f>
        <v>47,00</v>
      </c>
      <c r="CJ40" s="4" t="str">
        <f>"2026-2028"</f>
        <v>2026-2028</v>
      </c>
    </row>
    <row r="41" spans="1:88" ht="11.25" customHeight="1">
      <c r="A41" s="45" t="str">
        <f>"24.28"</f>
        <v>24.28</v>
      </c>
      <c r="B41" s="46" t="str">
        <f>"г. Харовск, ул. Восточная, д.8"</f>
        <v>г. Харовск, ул. Восточная, д.8</v>
      </c>
      <c r="C41" s="6" t="str">
        <f>"1973"</f>
        <v>1973</v>
      </c>
      <c r="D41" s="4" t="str">
        <f>"1973"</f>
        <v>1973</v>
      </c>
      <c r="E41" s="4" t="str">
        <f>"45,00"</f>
        <v>45,00</v>
      </c>
      <c r="F41" s="4" t="str">
        <f>"2025-2027"</f>
        <v>2025-2027</v>
      </c>
      <c r="G41" s="4" t="str">
        <f t="shared" si="43"/>
        <v>нет</v>
      </c>
      <c r="H41" s="4" t="str">
        <f>""</f>
        <v/>
      </c>
      <c r="I41" s="4" t="str">
        <f>""</f>
        <v/>
      </c>
      <c r="J41" s="4" t="str">
        <f>""</f>
        <v/>
      </c>
      <c r="K41" s="4" t="str">
        <f t="shared" si="1"/>
        <v>нет</v>
      </c>
      <c r="L41" s="4" t="str">
        <f>""</f>
        <v/>
      </c>
      <c r="M41" s="4" t="str">
        <f>""</f>
        <v/>
      </c>
      <c r="N41" s="4" t="str">
        <f>""</f>
        <v/>
      </c>
      <c r="O41" s="7" t="str">
        <f>"1973"</f>
        <v>1973</v>
      </c>
      <c r="P41" s="4" t="str">
        <f>"45,00"</f>
        <v>45,00</v>
      </c>
      <c r="Q41" s="4" t="str">
        <f>"2025-2027"</f>
        <v>2025-2027</v>
      </c>
      <c r="R41" s="4" t="str">
        <f>"нет"</f>
        <v>нет</v>
      </c>
      <c r="S41" s="4" t="str">
        <f>"х"</f>
        <v>х</v>
      </c>
      <c r="T41" s="4" t="str">
        <f>"х"</f>
        <v>х</v>
      </c>
      <c r="U41" s="4" t="str">
        <f>"х"</f>
        <v>х</v>
      </c>
      <c r="V41" s="4" t="str">
        <f t="shared" si="39"/>
        <v>нет</v>
      </c>
      <c r="W41" s="4" t="str">
        <f>"х"</f>
        <v>х</v>
      </c>
      <c r="X41" s="4" t="str">
        <f>"х"</f>
        <v>х</v>
      </c>
      <c r="Y41" s="8" t="str">
        <f>"х"</f>
        <v>х</v>
      </c>
      <c r="Z41" s="4" t="str">
        <f t="shared" si="33"/>
        <v>х</v>
      </c>
      <c r="AA41" s="4" t="str">
        <f t="shared" si="33"/>
        <v>х</v>
      </c>
      <c r="AB41" s="4" t="str">
        <f t="shared" si="33"/>
        <v>х</v>
      </c>
      <c r="AC41" s="4" t="str">
        <f t="shared" si="33"/>
        <v>х</v>
      </c>
      <c r="AD41" s="4" t="str">
        <f t="shared" si="33"/>
        <v>х</v>
      </c>
      <c r="AE41" s="4" t="str">
        <f t="shared" si="33"/>
        <v>х</v>
      </c>
      <c r="AF41" s="4" t="str">
        <f t="shared" si="33"/>
        <v>х</v>
      </c>
      <c r="AG41" s="4" t="str">
        <f t="shared" si="33"/>
        <v>х</v>
      </c>
      <c r="AH41" s="4" t="str">
        <f t="shared" si="33"/>
        <v>х</v>
      </c>
      <c r="AI41" s="4" t="str">
        <f t="shared" si="33"/>
        <v>х</v>
      </c>
      <c r="AJ41" s="4" t="str">
        <f t="shared" si="33"/>
        <v>х</v>
      </c>
      <c r="AK41" s="7" t="str">
        <f>"1973"</f>
        <v>1973</v>
      </c>
      <c r="AL41" s="4" t="str">
        <f>"45,00"</f>
        <v>45,00</v>
      </c>
      <c r="AM41" s="4" t="str">
        <f>"2025-2027"</f>
        <v>2025-2027</v>
      </c>
      <c r="AN41" s="4" t="str">
        <f>"нет"</f>
        <v>нет</v>
      </c>
      <c r="AO41" s="4" t="str">
        <f>""</f>
        <v/>
      </c>
      <c r="AP41" s="4" t="str">
        <f>""</f>
        <v/>
      </c>
      <c r="AQ41" s="4" t="str">
        <f>""</f>
        <v/>
      </c>
      <c r="AR41" s="4" t="str">
        <f t="shared" si="40"/>
        <v>нет</v>
      </c>
      <c r="AS41" s="4" t="str">
        <f>""</f>
        <v/>
      </c>
      <c r="AT41" s="4" t="str">
        <f>""</f>
        <v/>
      </c>
      <c r="AU41" s="4" t="str">
        <f>""</f>
        <v/>
      </c>
      <c r="AV41" s="4" t="str">
        <f>""</f>
        <v/>
      </c>
      <c r="AW41" s="4" t="str">
        <f>""</f>
        <v/>
      </c>
      <c r="AX41" s="4" t="str">
        <f>""</f>
        <v/>
      </c>
      <c r="AY41" s="4" t="str">
        <f>""</f>
        <v/>
      </c>
      <c r="AZ41" s="4" t="str">
        <f>""</f>
        <v/>
      </c>
      <c r="BA41" s="4" t="str">
        <f>""</f>
        <v/>
      </c>
      <c r="BB41" s="4" t="str">
        <f>""</f>
        <v/>
      </c>
      <c r="BC41" s="4" t="str">
        <f>""</f>
        <v/>
      </c>
      <c r="BD41" s="4" t="str">
        <f>""</f>
        <v/>
      </c>
      <c r="BE41" s="4" t="str">
        <f>""</f>
        <v/>
      </c>
      <c r="BF41" s="4" t="str">
        <f>""</f>
        <v/>
      </c>
      <c r="BG41" s="4" t="str">
        <f>"1973"</f>
        <v>1973</v>
      </c>
      <c r="BH41" s="4" t="str">
        <f>"45,00"</f>
        <v>45,00</v>
      </c>
      <c r="BI41" s="4" t="str">
        <f>"2025-2027"</f>
        <v>2025-2027</v>
      </c>
      <c r="BJ41" s="4" t="str">
        <f t="shared" si="41"/>
        <v>нет</v>
      </c>
      <c r="BK41" s="4" t="str">
        <f>""</f>
        <v/>
      </c>
      <c r="BL41" s="4" t="str">
        <f>""</f>
        <v/>
      </c>
      <c r="BM41" s="4" t="str">
        <f>""</f>
        <v/>
      </c>
      <c r="BN41" s="4" t="str">
        <f t="shared" si="42"/>
        <v>нет</v>
      </c>
      <c r="BO41" s="4" t="str">
        <f>""</f>
        <v/>
      </c>
      <c r="BP41" s="4" t="str">
        <f>""</f>
        <v/>
      </c>
      <c r="BQ41" s="4" t="str">
        <f>""</f>
        <v/>
      </c>
      <c r="BR41" s="4" t="str">
        <f>"1973"</f>
        <v>1973</v>
      </c>
      <c r="BS41" s="4" t="str">
        <f>"45,00"</f>
        <v>45,00</v>
      </c>
      <c r="BT41" s="4" t="str">
        <f>"2025-2027"</f>
        <v>2025-2027</v>
      </c>
      <c r="BU41" s="4" t="str">
        <f t="shared" si="5"/>
        <v>нет</v>
      </c>
      <c r="BV41" s="4" t="str">
        <f t="shared" si="34"/>
        <v>x</v>
      </c>
      <c r="BW41" s="4" t="str">
        <f t="shared" si="34"/>
        <v>x</v>
      </c>
      <c r="BX41" s="4" t="str">
        <f t="shared" si="34"/>
        <v>x</v>
      </c>
      <c r="BY41" s="4" t="str">
        <f t="shared" si="7"/>
        <v>нет</v>
      </c>
      <c r="BZ41" s="4" t="str">
        <f t="shared" si="35"/>
        <v>x</v>
      </c>
      <c r="CA41" s="4" t="str">
        <f t="shared" si="35"/>
        <v>x</v>
      </c>
      <c r="CB41" s="4" t="str">
        <f t="shared" si="35"/>
        <v>x</v>
      </c>
      <c r="CC41" s="4" t="str">
        <f>"1973"</f>
        <v>1973</v>
      </c>
      <c r="CD41" s="4" t="str">
        <f>"45,00"</f>
        <v>45,00</v>
      </c>
      <c r="CE41" s="4" t="str">
        <f>"2025-2027"</f>
        <v>2025-2027</v>
      </c>
      <c r="CF41" s="4" t="str">
        <f>"1973"</f>
        <v>1973</v>
      </c>
      <c r="CG41" s="4" t="str">
        <f>"40,00"</f>
        <v>40,00</v>
      </c>
      <c r="CH41" s="4" t="str">
        <f>"2025-2027"</f>
        <v>2025-2027</v>
      </c>
      <c r="CI41" s="4" t="str">
        <f>"46,00"</f>
        <v>46,00</v>
      </c>
      <c r="CJ41" s="4" t="str">
        <f>"2025-2027"</f>
        <v>2025-2027</v>
      </c>
    </row>
    <row r="42" spans="1:88" ht="11.25" customHeight="1">
      <c r="A42" s="45" t="str">
        <f>"24.29"</f>
        <v>24.29</v>
      </c>
      <c r="B42" s="46" t="str">
        <f>"г. Харовск, ул. Каменная, д.52"</f>
        <v>г. Харовск, ул. Каменная, д.52</v>
      </c>
      <c r="C42" s="6" t="str">
        <f>"1985"</f>
        <v>1985</v>
      </c>
      <c r="D42" s="4" t="str">
        <f>"1985"</f>
        <v>1985</v>
      </c>
      <c r="E42" s="4" t="str">
        <f>"25,00"</f>
        <v>25,00</v>
      </c>
      <c r="F42" s="4" t="str">
        <f>"2030-2032"</f>
        <v>2030-2032</v>
      </c>
      <c r="G42" s="4" t="str">
        <f t="shared" si="43"/>
        <v>нет</v>
      </c>
      <c r="H42" s="4" t="str">
        <f>""</f>
        <v/>
      </c>
      <c r="I42" s="4" t="str">
        <f>""</f>
        <v/>
      </c>
      <c r="J42" s="4" t="str">
        <f>""</f>
        <v/>
      </c>
      <c r="K42" s="4" t="str">
        <f t="shared" si="1"/>
        <v>нет</v>
      </c>
      <c r="L42" s="4" t="str">
        <f>""</f>
        <v/>
      </c>
      <c r="M42" s="4" t="str">
        <f>""</f>
        <v/>
      </c>
      <c r="N42" s="4" t="str">
        <f>""</f>
        <v/>
      </c>
      <c r="O42" s="7" t="str">
        <f>"1985"</f>
        <v>1985</v>
      </c>
      <c r="P42" s="4" t="str">
        <f>"25,00"</f>
        <v>25,00</v>
      </c>
      <c r="Q42" s="4" t="str">
        <f>"2030-2032"</f>
        <v>2030-2032</v>
      </c>
      <c r="R42" s="4" t="str">
        <f>"да"</f>
        <v>да</v>
      </c>
      <c r="S42" s="4" t="str">
        <f>"2009"</f>
        <v>2009</v>
      </c>
      <c r="T42" s="4" t="str">
        <f>"90,00"</f>
        <v>90,00</v>
      </c>
      <c r="U42" s="4" t="str">
        <f>"2030-2032"</f>
        <v>2030-2032</v>
      </c>
      <c r="V42" s="4" t="str">
        <f t="shared" si="39"/>
        <v>нет</v>
      </c>
      <c r="W42" s="4" t="str">
        <f>""</f>
        <v/>
      </c>
      <c r="X42" s="4" t="str">
        <f>""</f>
        <v/>
      </c>
      <c r="Y42" s="8" t="str">
        <f>""</f>
        <v/>
      </c>
      <c r="Z42" s="4" t="str">
        <f t="shared" si="33"/>
        <v>х</v>
      </c>
      <c r="AA42" s="4" t="str">
        <f t="shared" si="33"/>
        <v>х</v>
      </c>
      <c r="AB42" s="4" t="str">
        <f t="shared" si="33"/>
        <v>х</v>
      </c>
      <c r="AC42" s="4" t="str">
        <f t="shared" si="33"/>
        <v>х</v>
      </c>
      <c r="AD42" s="4" t="str">
        <f t="shared" si="33"/>
        <v>х</v>
      </c>
      <c r="AE42" s="4" t="str">
        <f t="shared" si="33"/>
        <v>х</v>
      </c>
      <c r="AF42" s="4" t="str">
        <f t="shared" si="33"/>
        <v>х</v>
      </c>
      <c r="AG42" s="4" t="str">
        <f t="shared" si="33"/>
        <v>х</v>
      </c>
      <c r="AH42" s="4" t="str">
        <f t="shared" si="33"/>
        <v>х</v>
      </c>
      <c r="AI42" s="4" t="str">
        <f t="shared" si="33"/>
        <v>х</v>
      </c>
      <c r="AJ42" s="4" t="str">
        <f t="shared" si="33"/>
        <v>х</v>
      </c>
      <c r="AK42" s="7" t="str">
        <f>"1985"</f>
        <v>1985</v>
      </c>
      <c r="AL42" s="4" t="str">
        <f>"25,00"</f>
        <v>25,00</v>
      </c>
      <c r="AM42" s="4" t="str">
        <f>"2030-2032"</f>
        <v>2030-2032</v>
      </c>
      <c r="AN42" s="4" t="str">
        <f>"да"</f>
        <v>да</v>
      </c>
      <c r="AO42" s="4" t="str">
        <f>"2013"</f>
        <v>2013</v>
      </c>
      <c r="AP42" s="4" t="str">
        <f>"1,00"</f>
        <v>1,00</v>
      </c>
      <c r="AQ42" s="4" t="str">
        <f>"2030-2032"</f>
        <v>2030-2032</v>
      </c>
      <c r="AR42" s="4" t="str">
        <f t="shared" si="40"/>
        <v>нет</v>
      </c>
      <c r="AS42" s="4" t="str">
        <f>""</f>
        <v/>
      </c>
      <c r="AT42" s="4" t="str">
        <f>""</f>
        <v/>
      </c>
      <c r="AU42" s="4" t="str">
        <f>""</f>
        <v/>
      </c>
      <c r="AV42" s="4" t="str">
        <f>"1985"</f>
        <v>1985</v>
      </c>
      <c r="AW42" s="4" t="str">
        <f>"25,00"</f>
        <v>25,00</v>
      </c>
      <c r="AX42" s="4" t="str">
        <f>"2030-2032"</f>
        <v>2030-2032</v>
      </c>
      <c r="AY42" s="4" t="str">
        <f t="shared" ref="AY42:AY55" si="46">"нет"</f>
        <v>нет</v>
      </c>
      <c r="AZ42" s="4" t="str">
        <f>""</f>
        <v/>
      </c>
      <c r="BA42" s="4" t="str">
        <f>""</f>
        <v/>
      </c>
      <c r="BB42" s="4" t="str">
        <f>""</f>
        <v/>
      </c>
      <c r="BC42" s="4" t="str">
        <f t="shared" ref="BC42:BC60" si="47">"нет"</f>
        <v>нет</v>
      </c>
      <c r="BD42" s="4" t="str">
        <f>""</f>
        <v/>
      </c>
      <c r="BE42" s="4" t="str">
        <f>""</f>
        <v/>
      </c>
      <c r="BF42" s="4" t="str">
        <f>""</f>
        <v/>
      </c>
      <c r="BG42" s="4" t="str">
        <f>"1985"</f>
        <v>1985</v>
      </c>
      <c r="BH42" s="4" t="str">
        <f>"25,00"</f>
        <v>25,00</v>
      </c>
      <c r="BI42" s="4" t="str">
        <f>"2030-2032"</f>
        <v>2030-2032</v>
      </c>
      <c r="BJ42" s="4" t="str">
        <f t="shared" si="41"/>
        <v>нет</v>
      </c>
      <c r="BK42" s="4" t="str">
        <f>""</f>
        <v/>
      </c>
      <c r="BL42" s="4" t="str">
        <f>""</f>
        <v/>
      </c>
      <c r="BM42" s="4" t="str">
        <f>""</f>
        <v/>
      </c>
      <c r="BN42" s="4" t="str">
        <f t="shared" si="42"/>
        <v>нет</v>
      </c>
      <c r="BO42" s="4" t="str">
        <f>""</f>
        <v/>
      </c>
      <c r="BP42" s="4" t="str">
        <f>""</f>
        <v/>
      </c>
      <c r="BQ42" s="4" t="str">
        <f>""</f>
        <v/>
      </c>
      <c r="BR42" s="4" t="str">
        <f>"1985"</f>
        <v>1985</v>
      </c>
      <c r="BS42" s="4" t="str">
        <f>"20,00"</f>
        <v>20,00</v>
      </c>
      <c r="BT42" s="4" t="str">
        <f>"2030-2032"</f>
        <v>2030-2032</v>
      </c>
      <c r="BU42" s="4" t="str">
        <f t="shared" si="5"/>
        <v>нет</v>
      </c>
      <c r="BV42" s="4" t="str">
        <f t="shared" si="34"/>
        <v>x</v>
      </c>
      <c r="BW42" s="4" t="str">
        <f t="shared" si="34"/>
        <v>x</v>
      </c>
      <c r="BX42" s="4" t="str">
        <f t="shared" si="34"/>
        <v>x</v>
      </c>
      <c r="BY42" s="4" t="str">
        <f t="shared" si="7"/>
        <v>нет</v>
      </c>
      <c r="BZ42" s="4" t="str">
        <f t="shared" si="35"/>
        <v>x</v>
      </c>
      <c r="CA42" s="4" t="str">
        <f t="shared" si="35"/>
        <v>x</v>
      </c>
      <c r="CB42" s="4" t="str">
        <f t="shared" si="35"/>
        <v>x</v>
      </c>
      <c r="CC42" s="4" t="str">
        <f>"1985"</f>
        <v>1985</v>
      </c>
      <c r="CD42" s="4" t="str">
        <f>"10,00"</f>
        <v>10,00</v>
      </c>
      <c r="CE42" s="4" t="str">
        <f>"2030-2032"</f>
        <v>2030-2032</v>
      </c>
      <c r="CF42" s="4" t="str">
        <f>"1985"</f>
        <v>1985</v>
      </c>
      <c r="CG42" s="4" t="str">
        <f>"10,00"</f>
        <v>10,00</v>
      </c>
      <c r="CH42" s="4" t="str">
        <f>"2030-2032"</f>
        <v>2030-2032</v>
      </c>
      <c r="CI42" s="4" t="str">
        <f>"24,00"</f>
        <v>24,00</v>
      </c>
      <c r="CJ42" s="4" t="str">
        <f>"2030-2032"</f>
        <v>2030-2032</v>
      </c>
    </row>
    <row r="43" spans="1:88" ht="11.25" customHeight="1">
      <c r="A43" s="45" t="str">
        <f>"24.30"</f>
        <v>24.30</v>
      </c>
      <c r="B43" s="46" t="str">
        <f>"г. Харовск, ул. Кирова, д.11"</f>
        <v>г. Харовск, ул. Кирова, д.11</v>
      </c>
      <c r="C43" s="6" t="str">
        <f>"1932"</f>
        <v>1932</v>
      </c>
      <c r="D43" s="4" t="str">
        <f>"1971"</f>
        <v>1971</v>
      </c>
      <c r="E43" s="4" t="str">
        <f>"55,00"</f>
        <v>55,00</v>
      </c>
      <c r="F43" s="4" t="str">
        <f>"2017-2019"</f>
        <v>2017-2019</v>
      </c>
      <c r="G43" s="4" t="str">
        <f t="shared" si="43"/>
        <v>нет</v>
      </c>
      <c r="H43" s="4" t="str">
        <f>""</f>
        <v/>
      </c>
      <c r="I43" s="4" t="str">
        <f>""</f>
        <v/>
      </c>
      <c r="J43" s="4" t="str">
        <f>"2017-2019"</f>
        <v>2017-2019</v>
      </c>
      <c r="K43" s="4" t="str">
        <f t="shared" si="1"/>
        <v>нет</v>
      </c>
      <c r="L43" s="4" t="str">
        <f>""</f>
        <v/>
      </c>
      <c r="M43" s="4" t="str">
        <f>""</f>
        <v/>
      </c>
      <c r="N43" s="4" t="str">
        <f>""</f>
        <v/>
      </c>
      <c r="O43" s="7" t="str">
        <f>"1971"</f>
        <v>1971</v>
      </c>
      <c r="P43" s="4" t="str">
        <f>"55,00"</f>
        <v>55,00</v>
      </c>
      <c r="Q43" s="4" t="str">
        <f>"2020-2022"</f>
        <v>2020-2022</v>
      </c>
      <c r="R43" s="4" t="str">
        <f>"нет"</f>
        <v>нет</v>
      </c>
      <c r="S43" s="4" t="str">
        <f>""</f>
        <v/>
      </c>
      <c r="T43" s="4" t="str">
        <f>""</f>
        <v/>
      </c>
      <c r="U43" s="4" t="str">
        <f>"2017-2019"</f>
        <v>2017-2019</v>
      </c>
      <c r="V43" s="4" t="str">
        <f t="shared" si="39"/>
        <v>нет</v>
      </c>
      <c r="W43" s="4" t="str">
        <f>""</f>
        <v/>
      </c>
      <c r="X43" s="4" t="str">
        <f>""</f>
        <v/>
      </c>
      <c r="Y43" s="8" t="str">
        <f>""</f>
        <v/>
      </c>
      <c r="Z43" s="4" t="str">
        <f t="shared" si="33"/>
        <v>х</v>
      </c>
      <c r="AA43" s="4" t="str">
        <f t="shared" si="33"/>
        <v>х</v>
      </c>
      <c r="AB43" s="4" t="str">
        <f t="shared" si="33"/>
        <v>х</v>
      </c>
      <c r="AC43" s="4" t="str">
        <f t="shared" si="33"/>
        <v>х</v>
      </c>
      <c r="AD43" s="4" t="str">
        <f t="shared" si="33"/>
        <v>х</v>
      </c>
      <c r="AE43" s="4" t="str">
        <f t="shared" si="33"/>
        <v>х</v>
      </c>
      <c r="AF43" s="4" t="str">
        <f t="shared" si="33"/>
        <v>х</v>
      </c>
      <c r="AG43" s="4" t="str">
        <f t="shared" si="33"/>
        <v>х</v>
      </c>
      <c r="AH43" s="4" t="str">
        <f t="shared" si="33"/>
        <v>х</v>
      </c>
      <c r="AI43" s="4" t="str">
        <f t="shared" si="33"/>
        <v>х</v>
      </c>
      <c r="AJ43" s="4" t="str">
        <f t="shared" si="33"/>
        <v>х</v>
      </c>
      <c r="AK43" s="7" t="str">
        <f>"1971"</f>
        <v>1971</v>
      </c>
      <c r="AL43" s="4" t="str">
        <f>"55,00"</f>
        <v>55,00</v>
      </c>
      <c r="AM43" s="4" t="str">
        <f>"2017-2019"</f>
        <v>2017-2019</v>
      </c>
      <c r="AN43" s="4" t="str">
        <f>"нет"</f>
        <v>нет</v>
      </c>
      <c r="AO43" s="4" t="str">
        <f>""</f>
        <v/>
      </c>
      <c r="AP43" s="4" t="str">
        <f>""</f>
        <v/>
      </c>
      <c r="AQ43" s="4" t="str">
        <f>"2017-2019"</f>
        <v>2017-2019</v>
      </c>
      <c r="AR43" s="4" t="str">
        <f t="shared" si="40"/>
        <v>нет</v>
      </c>
      <c r="AS43" s="4" t="str">
        <f>""</f>
        <v/>
      </c>
      <c r="AT43" s="4" t="str">
        <f>""</f>
        <v/>
      </c>
      <c r="AU43" s="4" t="str">
        <f>""</f>
        <v/>
      </c>
      <c r="AV43" s="4" t="str">
        <f>"1971"</f>
        <v>1971</v>
      </c>
      <c r="AW43" s="4" t="str">
        <f>"55,00"</f>
        <v>55,00</v>
      </c>
      <c r="AX43" s="4" t="str">
        <f>"2017-2019"</f>
        <v>2017-2019</v>
      </c>
      <c r="AY43" s="4" t="str">
        <f t="shared" si="46"/>
        <v>нет</v>
      </c>
      <c r="AZ43" s="4" t="str">
        <f>""</f>
        <v/>
      </c>
      <c r="BA43" s="4" t="str">
        <f>""</f>
        <v/>
      </c>
      <c r="BB43" s="4" t="str">
        <f>""</f>
        <v/>
      </c>
      <c r="BC43" s="4" t="str">
        <f t="shared" si="47"/>
        <v>нет</v>
      </c>
      <c r="BD43" s="4" t="str">
        <f>""</f>
        <v/>
      </c>
      <c r="BE43" s="4" t="str">
        <f>""</f>
        <v/>
      </c>
      <c r="BF43" s="4" t="str">
        <f>""</f>
        <v/>
      </c>
      <c r="BG43" s="4" t="str">
        <f>"1971"</f>
        <v>1971</v>
      </c>
      <c r="BH43" s="4" t="str">
        <f>"55,00"</f>
        <v>55,00</v>
      </c>
      <c r="BI43" s="4" t="str">
        <f>"2017-2019"</f>
        <v>2017-2019</v>
      </c>
      <c r="BJ43" s="4" t="str">
        <f t="shared" si="41"/>
        <v>нет</v>
      </c>
      <c r="BK43" s="4" t="str">
        <f>""</f>
        <v/>
      </c>
      <c r="BL43" s="4" t="str">
        <f>""</f>
        <v/>
      </c>
      <c r="BM43" s="4" t="str">
        <f>""</f>
        <v/>
      </c>
      <c r="BN43" s="4" t="str">
        <f t="shared" si="42"/>
        <v>нет</v>
      </c>
      <c r="BO43" s="4" t="str">
        <f>""</f>
        <v/>
      </c>
      <c r="BP43" s="4" t="str">
        <f>""</f>
        <v/>
      </c>
      <c r="BQ43" s="4" t="str">
        <f>""</f>
        <v/>
      </c>
      <c r="BR43" s="4" t="str">
        <f>"1971"</f>
        <v>1971</v>
      </c>
      <c r="BS43" s="4" t="str">
        <f>"25,00"</f>
        <v>25,00</v>
      </c>
      <c r="BT43" s="4" t="str">
        <f>"2030-2032"</f>
        <v>2030-2032</v>
      </c>
      <c r="BU43" s="4" t="str">
        <f t="shared" si="5"/>
        <v>нет</v>
      </c>
      <c r="BV43" s="4" t="str">
        <f t="shared" si="34"/>
        <v>x</v>
      </c>
      <c r="BW43" s="4" t="str">
        <f t="shared" si="34"/>
        <v>x</v>
      </c>
      <c r="BX43" s="4" t="str">
        <f t="shared" si="34"/>
        <v>x</v>
      </c>
      <c r="BY43" s="4" t="str">
        <f t="shared" si="7"/>
        <v>нет</v>
      </c>
      <c r="BZ43" s="4" t="str">
        <f t="shared" si="35"/>
        <v>x</v>
      </c>
      <c r="CA43" s="4" t="str">
        <f t="shared" si="35"/>
        <v>x</v>
      </c>
      <c r="CB43" s="4" t="str">
        <f t="shared" si="35"/>
        <v>x</v>
      </c>
      <c r="CC43" s="4" t="str">
        <f>"1971"</f>
        <v>1971</v>
      </c>
      <c r="CD43" s="4" t="str">
        <f>"35,00"</f>
        <v>35,00</v>
      </c>
      <c r="CE43" s="4" t="str">
        <f>"2017-2019"</f>
        <v>2017-2019</v>
      </c>
      <c r="CF43" s="4" t="str">
        <f>"1971"</f>
        <v>1971</v>
      </c>
      <c r="CG43" s="4" t="str">
        <f>"60,00"</f>
        <v>60,00</v>
      </c>
      <c r="CH43" s="4" t="str">
        <f>"2017-2019"</f>
        <v>2017-2019</v>
      </c>
      <c r="CI43" s="4" t="str">
        <f>"53,00"</f>
        <v>53,00</v>
      </c>
      <c r="CJ43" s="4" t="str">
        <f>"2015-2017"</f>
        <v>2015-2017</v>
      </c>
    </row>
    <row r="44" spans="1:88" ht="11.25" customHeight="1">
      <c r="A44" s="45" t="str">
        <f>"24.31"</f>
        <v>24.31</v>
      </c>
      <c r="B44" s="46" t="str">
        <f>"г. Харовск, ул. Кирова, д.15"</f>
        <v>г. Харовск, ул. Кирова, д.15</v>
      </c>
      <c r="C44" s="6" t="str">
        <f>"1958"</f>
        <v>1958</v>
      </c>
      <c r="D44" s="4" t="str">
        <f>"1958"</f>
        <v>1958</v>
      </c>
      <c r="E44" s="4" t="str">
        <f>"40,00"</f>
        <v>40,00</v>
      </c>
      <c r="F44" s="4" t="str">
        <f>"2028-2030"</f>
        <v>2028-2030</v>
      </c>
      <c r="G44" s="4" t="str">
        <f t="shared" si="43"/>
        <v>нет</v>
      </c>
      <c r="H44" s="4" t="str">
        <f>""</f>
        <v/>
      </c>
      <c r="I44" s="4" t="str">
        <f>""</f>
        <v/>
      </c>
      <c r="J44" s="4" t="str">
        <f>""</f>
        <v/>
      </c>
      <c r="K44" s="4" t="str">
        <f t="shared" si="1"/>
        <v>нет</v>
      </c>
      <c r="L44" s="4" t="str">
        <f>""</f>
        <v/>
      </c>
      <c r="M44" s="4" t="str">
        <f>""</f>
        <v/>
      </c>
      <c r="N44" s="4" t="str">
        <f>""</f>
        <v/>
      </c>
      <c r="O44" s="7" t="str">
        <f>"1958"</f>
        <v>1958</v>
      </c>
      <c r="P44" s="4" t="str">
        <f>"40,00"</f>
        <v>40,00</v>
      </c>
      <c r="Q44" s="4" t="str">
        <f>"2018-2020"</f>
        <v>2018-2020</v>
      </c>
      <c r="R44" s="4" t="str">
        <f>"нет"</f>
        <v>нет</v>
      </c>
      <c r="S44" s="4" t="str">
        <f>""</f>
        <v/>
      </c>
      <c r="T44" s="4" t="str">
        <f>""</f>
        <v/>
      </c>
      <c r="U44" s="4" t="str">
        <f>"2018-2020"</f>
        <v>2018-2020</v>
      </c>
      <c r="V44" s="4" t="str">
        <f t="shared" si="39"/>
        <v>нет</v>
      </c>
      <c r="W44" s="4" t="str">
        <f>""</f>
        <v/>
      </c>
      <c r="X44" s="4" t="str">
        <f>""</f>
        <v/>
      </c>
      <c r="Y44" s="8" t="str">
        <f>""</f>
        <v/>
      </c>
      <c r="Z44" s="4" t="str">
        <f t="shared" ref="Z44:AJ57" si="48">"х"</f>
        <v>х</v>
      </c>
      <c r="AA44" s="4" t="str">
        <f t="shared" si="48"/>
        <v>х</v>
      </c>
      <c r="AB44" s="4" t="str">
        <f t="shared" si="48"/>
        <v>х</v>
      </c>
      <c r="AC44" s="4" t="str">
        <f t="shared" si="48"/>
        <v>х</v>
      </c>
      <c r="AD44" s="4" t="str">
        <f t="shared" si="48"/>
        <v>х</v>
      </c>
      <c r="AE44" s="4" t="str">
        <f t="shared" si="48"/>
        <v>х</v>
      </c>
      <c r="AF44" s="4" t="str">
        <f t="shared" si="48"/>
        <v>х</v>
      </c>
      <c r="AG44" s="4" t="str">
        <f t="shared" si="48"/>
        <v>х</v>
      </c>
      <c r="AH44" s="4" t="str">
        <f t="shared" si="48"/>
        <v>х</v>
      </c>
      <c r="AI44" s="4" t="str">
        <f t="shared" si="48"/>
        <v>х</v>
      </c>
      <c r="AJ44" s="4" t="str">
        <f t="shared" si="48"/>
        <v>х</v>
      </c>
      <c r="AK44" s="7" t="str">
        <f>"1958"</f>
        <v>1958</v>
      </c>
      <c r="AL44" s="4" t="str">
        <f>"40,00"</f>
        <v>40,00</v>
      </c>
      <c r="AM44" s="4" t="str">
        <f>"2028-2030"</f>
        <v>2028-2030</v>
      </c>
      <c r="AN44" s="4" t="str">
        <f>"нет"</f>
        <v>нет</v>
      </c>
      <c r="AO44" s="4" t="str">
        <f>""</f>
        <v/>
      </c>
      <c r="AP44" s="4" t="str">
        <f>""</f>
        <v/>
      </c>
      <c r="AQ44" s="4" t="str">
        <f>""</f>
        <v/>
      </c>
      <c r="AR44" s="4" t="str">
        <f t="shared" si="40"/>
        <v>нет</v>
      </c>
      <c r="AS44" s="4" t="str">
        <f>""</f>
        <v/>
      </c>
      <c r="AT44" s="4" t="str">
        <f>""</f>
        <v/>
      </c>
      <c r="AU44" s="4" t="str">
        <f>""</f>
        <v/>
      </c>
      <c r="AV44" s="4" t="str">
        <f>"1958"</f>
        <v>1958</v>
      </c>
      <c r="AW44" s="4" t="str">
        <f>"40,00"</f>
        <v>40,00</v>
      </c>
      <c r="AX44" s="4" t="str">
        <f>"2028-2030"</f>
        <v>2028-2030</v>
      </c>
      <c r="AY44" s="4" t="str">
        <f t="shared" si="46"/>
        <v>нет</v>
      </c>
      <c r="AZ44" s="4" t="str">
        <f>""</f>
        <v/>
      </c>
      <c r="BA44" s="4" t="str">
        <f>""</f>
        <v/>
      </c>
      <c r="BB44" s="4" t="str">
        <f>""</f>
        <v/>
      </c>
      <c r="BC44" s="4" t="str">
        <f t="shared" si="47"/>
        <v>нет</v>
      </c>
      <c r="BD44" s="4" t="str">
        <f>""</f>
        <v/>
      </c>
      <c r="BE44" s="4" t="str">
        <f>""</f>
        <v/>
      </c>
      <c r="BF44" s="4" t="str">
        <f>""</f>
        <v/>
      </c>
      <c r="BG44" s="4" t="str">
        <f>"1958"</f>
        <v>1958</v>
      </c>
      <c r="BH44" s="4" t="str">
        <f>"40,00"</f>
        <v>40,00</v>
      </c>
      <c r="BI44" s="4" t="str">
        <f>"2028-2030"</f>
        <v>2028-2030</v>
      </c>
      <c r="BJ44" s="4" t="str">
        <f t="shared" si="41"/>
        <v>нет</v>
      </c>
      <c r="BK44" s="4" t="str">
        <f>""</f>
        <v/>
      </c>
      <c r="BL44" s="4" t="str">
        <f>""</f>
        <v/>
      </c>
      <c r="BM44" s="4" t="str">
        <f>""</f>
        <v/>
      </c>
      <c r="BN44" s="4" t="str">
        <f t="shared" si="42"/>
        <v>нет</v>
      </c>
      <c r="BO44" s="4" t="str">
        <f>""</f>
        <v/>
      </c>
      <c r="BP44" s="4" t="str">
        <f>""</f>
        <v/>
      </c>
      <c r="BQ44" s="4" t="str">
        <f>""</f>
        <v/>
      </c>
      <c r="BR44" s="4" t="str">
        <f>"1958"</f>
        <v>1958</v>
      </c>
      <c r="BS44" s="4" t="str">
        <f>"50,00"</f>
        <v>50,00</v>
      </c>
      <c r="BT44" s="4" t="str">
        <f>"2018-2020"</f>
        <v>2018-2020</v>
      </c>
      <c r="BU44" s="4" t="str">
        <f t="shared" si="5"/>
        <v>нет</v>
      </c>
      <c r="BV44" s="4" t="str">
        <f t="shared" si="34"/>
        <v>x</v>
      </c>
      <c r="BW44" s="4" t="str">
        <f t="shared" si="34"/>
        <v>x</v>
      </c>
      <c r="BX44" s="4" t="str">
        <f t="shared" si="34"/>
        <v>x</v>
      </c>
      <c r="BY44" s="4" t="str">
        <f t="shared" si="7"/>
        <v>нет</v>
      </c>
      <c r="BZ44" s="4" t="str">
        <f t="shared" si="35"/>
        <v>x</v>
      </c>
      <c r="CA44" s="4" t="str">
        <f t="shared" si="35"/>
        <v>x</v>
      </c>
      <c r="CB44" s="4" t="str">
        <f t="shared" si="35"/>
        <v>x</v>
      </c>
      <c r="CC44" s="4" t="str">
        <f>"1958"</f>
        <v>1958</v>
      </c>
      <c r="CD44" s="4" t="str">
        <f>"50,00"</f>
        <v>50,00</v>
      </c>
      <c r="CE44" s="4" t="str">
        <f>"2018-2020"</f>
        <v>2018-2020</v>
      </c>
      <c r="CF44" s="4" t="str">
        <f>"1958"</f>
        <v>1958</v>
      </c>
      <c r="CG44" s="4" t="str">
        <f>"50,00"</f>
        <v>50,00</v>
      </c>
      <c r="CH44" s="4" t="str">
        <f>"2028-2030"</f>
        <v>2028-2030</v>
      </c>
      <c r="CI44" s="4" t="str">
        <f>"43,00"</f>
        <v>43,00</v>
      </c>
      <c r="CJ44" s="4" t="str">
        <f>"2018-2020"</f>
        <v>2018-2020</v>
      </c>
    </row>
    <row r="45" spans="1:88" ht="11.25" customHeight="1">
      <c r="A45" s="45" t="str">
        <f>"24.32"</f>
        <v>24.32</v>
      </c>
      <c r="B45" s="46" t="str">
        <f>"г. Харовск, ул. Кирова, д.3"</f>
        <v>г. Харовск, ул. Кирова, д.3</v>
      </c>
      <c r="C45" s="6" t="str">
        <f>"1969"</f>
        <v>1969</v>
      </c>
      <c r="D45" s="4" t="str">
        <f>"1969"</f>
        <v>1969</v>
      </c>
      <c r="E45" s="4" t="str">
        <f>"45,00"</f>
        <v>45,00</v>
      </c>
      <c r="F45" s="4" t="str">
        <f>"2023-2025"</f>
        <v>2023-2025</v>
      </c>
      <c r="G45" s="4" t="str">
        <f t="shared" si="43"/>
        <v>нет</v>
      </c>
      <c r="H45" s="4" t="str">
        <f>""</f>
        <v/>
      </c>
      <c r="I45" s="4" t="str">
        <f>""</f>
        <v/>
      </c>
      <c r="J45" s="4" t="str">
        <f>""</f>
        <v/>
      </c>
      <c r="K45" s="4" t="str">
        <f t="shared" si="1"/>
        <v>нет</v>
      </c>
      <c r="L45" s="4" t="str">
        <f>""</f>
        <v/>
      </c>
      <c r="M45" s="4" t="str">
        <f>""</f>
        <v/>
      </c>
      <c r="N45" s="4" t="str">
        <f>""</f>
        <v/>
      </c>
      <c r="O45" s="7" t="str">
        <f>"1969"</f>
        <v>1969</v>
      </c>
      <c r="P45" s="4" t="str">
        <f>"45,00"</f>
        <v>45,00</v>
      </c>
      <c r="Q45" s="4" t="str">
        <f>"2023-2025"</f>
        <v>2023-2025</v>
      </c>
      <c r="R45" s="4" t="str">
        <f>"да"</f>
        <v>да</v>
      </c>
      <c r="S45" s="4" t="str">
        <f>"2009"</f>
        <v>2009</v>
      </c>
      <c r="T45" s="4" t="str">
        <f>"75,00"</f>
        <v>75,00</v>
      </c>
      <c r="U45" s="4" t="str">
        <f>"2023-2025"</f>
        <v>2023-2025</v>
      </c>
      <c r="V45" s="4" t="str">
        <f t="shared" si="39"/>
        <v>нет</v>
      </c>
      <c r="W45" s="4" t="str">
        <f>""</f>
        <v/>
      </c>
      <c r="X45" s="4" t="str">
        <f>""</f>
        <v/>
      </c>
      <c r="Y45" s="8" t="str">
        <f>""</f>
        <v/>
      </c>
      <c r="Z45" s="4" t="str">
        <f t="shared" si="48"/>
        <v>х</v>
      </c>
      <c r="AA45" s="4" t="str">
        <f t="shared" si="48"/>
        <v>х</v>
      </c>
      <c r="AB45" s="4" t="str">
        <f t="shared" si="48"/>
        <v>х</v>
      </c>
      <c r="AC45" s="4" t="str">
        <f t="shared" si="48"/>
        <v>х</v>
      </c>
      <c r="AD45" s="4" t="str">
        <f t="shared" si="48"/>
        <v>х</v>
      </c>
      <c r="AE45" s="4" t="str">
        <f t="shared" si="48"/>
        <v>х</v>
      </c>
      <c r="AF45" s="4" t="str">
        <f t="shared" si="48"/>
        <v>х</v>
      </c>
      <c r="AG45" s="4" t="str">
        <f t="shared" si="48"/>
        <v>х</v>
      </c>
      <c r="AH45" s="4" t="str">
        <f t="shared" si="48"/>
        <v>х</v>
      </c>
      <c r="AI45" s="4" t="str">
        <f t="shared" si="48"/>
        <v>х</v>
      </c>
      <c r="AJ45" s="4" t="str">
        <f t="shared" si="48"/>
        <v>х</v>
      </c>
      <c r="AK45" s="7" t="str">
        <f>"1969"</f>
        <v>1969</v>
      </c>
      <c r="AL45" s="4" t="str">
        <f>"45,00"</f>
        <v>45,00</v>
      </c>
      <c r="AM45" s="4" t="str">
        <f>"2033-2035"</f>
        <v>2033-2035</v>
      </c>
      <c r="AN45" s="4" t="str">
        <f>"нет"</f>
        <v>нет</v>
      </c>
      <c r="AO45" s="4" t="str">
        <f>""</f>
        <v/>
      </c>
      <c r="AP45" s="4" t="str">
        <f>""</f>
        <v/>
      </c>
      <c r="AQ45" s="4" t="str">
        <f>""</f>
        <v/>
      </c>
      <c r="AR45" s="4" t="str">
        <f t="shared" si="40"/>
        <v>нет</v>
      </c>
      <c r="AS45" s="4" t="str">
        <f>""</f>
        <v/>
      </c>
      <c r="AT45" s="4" t="str">
        <f>""</f>
        <v/>
      </c>
      <c r="AU45" s="4" t="str">
        <f>""</f>
        <v/>
      </c>
      <c r="AV45" s="4" t="str">
        <f>"1969"</f>
        <v>1969</v>
      </c>
      <c r="AW45" s="4" t="str">
        <f>"45,00"</f>
        <v>45,00</v>
      </c>
      <c r="AX45" s="4" t="str">
        <f>"2033-2035"</f>
        <v>2033-2035</v>
      </c>
      <c r="AY45" s="4" t="str">
        <f t="shared" si="46"/>
        <v>нет</v>
      </c>
      <c r="AZ45" s="4" t="str">
        <f>""</f>
        <v/>
      </c>
      <c r="BA45" s="4" t="str">
        <f>""</f>
        <v/>
      </c>
      <c r="BB45" s="4" t="str">
        <f>""</f>
        <v/>
      </c>
      <c r="BC45" s="4" t="str">
        <f t="shared" si="47"/>
        <v>нет</v>
      </c>
      <c r="BD45" s="4" t="str">
        <f>""</f>
        <v/>
      </c>
      <c r="BE45" s="4" t="str">
        <f>""</f>
        <v/>
      </c>
      <c r="BF45" s="4" t="str">
        <f>""</f>
        <v/>
      </c>
      <c r="BG45" s="4" t="str">
        <f>"1969"</f>
        <v>1969</v>
      </c>
      <c r="BH45" s="4" t="str">
        <f>"45,00"</f>
        <v>45,00</v>
      </c>
      <c r="BI45" s="4" t="str">
        <f>"2033-2035"</f>
        <v>2033-2035</v>
      </c>
      <c r="BJ45" s="4" t="str">
        <f t="shared" si="41"/>
        <v>нет</v>
      </c>
      <c r="BK45" s="4" t="str">
        <f>""</f>
        <v/>
      </c>
      <c r="BL45" s="4" t="str">
        <f>""</f>
        <v/>
      </c>
      <c r="BM45" s="4" t="str">
        <f>""</f>
        <v/>
      </c>
      <c r="BN45" s="4" t="str">
        <f t="shared" si="42"/>
        <v>нет</v>
      </c>
      <c r="BO45" s="4" t="str">
        <f>""</f>
        <v/>
      </c>
      <c r="BP45" s="4" t="str">
        <f>""</f>
        <v/>
      </c>
      <c r="BQ45" s="4" t="str">
        <f>""</f>
        <v/>
      </c>
      <c r="BR45" s="4" t="str">
        <f>"1969"</f>
        <v>1969</v>
      </c>
      <c r="BS45" s="4" t="str">
        <f>"45,00"</f>
        <v>45,00</v>
      </c>
      <c r="BT45" s="4" t="str">
        <f>"2023-2025"</f>
        <v>2023-2025</v>
      </c>
      <c r="BU45" s="4" t="str">
        <f t="shared" si="5"/>
        <v>нет</v>
      </c>
      <c r="BV45" s="4" t="str">
        <f t="shared" si="34"/>
        <v>x</v>
      </c>
      <c r="BW45" s="4" t="str">
        <f t="shared" si="34"/>
        <v>x</v>
      </c>
      <c r="BX45" s="4" t="str">
        <f t="shared" si="34"/>
        <v>x</v>
      </c>
      <c r="BY45" s="4" t="str">
        <f t="shared" si="7"/>
        <v>нет</v>
      </c>
      <c r="BZ45" s="4" t="str">
        <f t="shared" si="35"/>
        <v>x</v>
      </c>
      <c r="CA45" s="4" t="str">
        <f t="shared" si="35"/>
        <v>x</v>
      </c>
      <c r="CB45" s="4" t="str">
        <f t="shared" si="35"/>
        <v>x</v>
      </c>
      <c r="CC45" s="4" t="str">
        <f>"1969"</f>
        <v>1969</v>
      </c>
      <c r="CD45" s="4" t="str">
        <f>"35,00"</f>
        <v>35,00</v>
      </c>
      <c r="CE45" s="4" t="str">
        <f>"2023-2025"</f>
        <v>2023-2025</v>
      </c>
      <c r="CF45" s="4" t="str">
        <f>"1969"</f>
        <v>1969</v>
      </c>
      <c r="CG45" s="4" t="str">
        <f>"40,00"</f>
        <v>40,00</v>
      </c>
      <c r="CH45" s="4" t="str">
        <f>"2033-2035"</f>
        <v>2033-2035</v>
      </c>
      <c r="CI45" s="4" t="str">
        <f>"36,00"</f>
        <v>36,00</v>
      </c>
      <c r="CJ45" s="4" t="str">
        <f>"2023-2025"</f>
        <v>2023-2025</v>
      </c>
    </row>
    <row r="46" spans="1:88" ht="11.25" customHeight="1">
      <c r="A46" s="45" t="str">
        <f>"24.33"</f>
        <v>24.33</v>
      </c>
      <c r="B46" s="46" t="str">
        <f>"г. Харовск, ул. Кирова, д.6"</f>
        <v>г. Харовск, ул. Кирова, д.6</v>
      </c>
      <c r="C46" s="6" t="str">
        <f>"1932"</f>
        <v>1932</v>
      </c>
      <c r="D46" s="4" t="str">
        <f>"1932"</f>
        <v>1932</v>
      </c>
      <c r="E46" s="4" t="str">
        <f>"30,00"</f>
        <v>30,00</v>
      </c>
      <c r="F46" s="4" t="str">
        <f>"2029-2031"</f>
        <v>2029-2031</v>
      </c>
      <c r="G46" s="4" t="str">
        <f t="shared" si="43"/>
        <v>нет</v>
      </c>
      <c r="H46" s="4" t="str">
        <f>""</f>
        <v/>
      </c>
      <c r="I46" s="4" t="str">
        <f>""</f>
        <v/>
      </c>
      <c r="J46" s="4" t="str">
        <f>""</f>
        <v/>
      </c>
      <c r="K46" s="4" t="str">
        <f t="shared" si="1"/>
        <v>нет</v>
      </c>
      <c r="L46" s="4" t="str">
        <f>""</f>
        <v/>
      </c>
      <c r="M46" s="4" t="str">
        <f>""</f>
        <v/>
      </c>
      <c r="N46" s="4" t="str">
        <f>""</f>
        <v/>
      </c>
      <c r="O46" s="7" t="str">
        <f>"1932"</f>
        <v>1932</v>
      </c>
      <c r="P46" s="4" t="str">
        <f>"30,00"</f>
        <v>30,00</v>
      </c>
      <c r="Q46" s="4" t="str">
        <f>"2029-2031"</f>
        <v>2029-2031</v>
      </c>
      <c r="R46" s="4" t="str">
        <f>"да"</f>
        <v>да</v>
      </c>
      <c r="S46" s="4" t="str">
        <f>"2011"</f>
        <v>2011</v>
      </c>
      <c r="T46" s="4" t="str">
        <f>"50,00"</f>
        <v>50,00</v>
      </c>
      <c r="U46" s="4" t="str">
        <f>"2029-2031"</f>
        <v>2029-2031</v>
      </c>
      <c r="V46" s="4" t="str">
        <f t="shared" si="39"/>
        <v>нет</v>
      </c>
      <c r="W46" s="4" t="str">
        <f>""</f>
        <v/>
      </c>
      <c r="X46" s="4" t="str">
        <f>""</f>
        <v/>
      </c>
      <c r="Y46" s="8" t="str">
        <f>""</f>
        <v/>
      </c>
      <c r="Z46" s="4" t="str">
        <f t="shared" si="48"/>
        <v>х</v>
      </c>
      <c r="AA46" s="4" t="str">
        <f t="shared" si="48"/>
        <v>х</v>
      </c>
      <c r="AB46" s="4" t="str">
        <f t="shared" si="48"/>
        <v>х</v>
      </c>
      <c r="AC46" s="4" t="str">
        <f t="shared" si="48"/>
        <v>х</v>
      </c>
      <c r="AD46" s="4" t="str">
        <f t="shared" si="48"/>
        <v>х</v>
      </c>
      <c r="AE46" s="4" t="str">
        <f t="shared" si="48"/>
        <v>х</v>
      </c>
      <c r="AF46" s="4" t="str">
        <f t="shared" si="48"/>
        <v>х</v>
      </c>
      <c r="AG46" s="4" t="str">
        <f t="shared" si="48"/>
        <v>х</v>
      </c>
      <c r="AH46" s="4" t="str">
        <f t="shared" si="48"/>
        <v>х</v>
      </c>
      <c r="AI46" s="4" t="str">
        <f t="shared" si="48"/>
        <v>х</v>
      </c>
      <c r="AJ46" s="4" t="str">
        <f t="shared" si="48"/>
        <v>х</v>
      </c>
      <c r="AK46" s="7" t="str">
        <f>"1932"</f>
        <v>1932</v>
      </c>
      <c r="AL46" s="4" t="str">
        <f>"30,00"</f>
        <v>30,00</v>
      </c>
      <c r="AM46" s="4" t="str">
        <f>"2029-2031"</f>
        <v>2029-2031</v>
      </c>
      <c r="AN46" s="4" t="str">
        <f>"нет"</f>
        <v>нет</v>
      </c>
      <c r="AO46" s="4" t="str">
        <f>""</f>
        <v/>
      </c>
      <c r="AP46" s="4" t="str">
        <f>""</f>
        <v/>
      </c>
      <c r="AQ46" s="4" t="str">
        <f>""</f>
        <v/>
      </c>
      <c r="AR46" s="4" t="str">
        <f t="shared" si="40"/>
        <v>нет</v>
      </c>
      <c r="AS46" s="4" t="str">
        <f>""</f>
        <v/>
      </c>
      <c r="AT46" s="4" t="str">
        <f>""</f>
        <v/>
      </c>
      <c r="AU46" s="4" t="str">
        <f>""</f>
        <v/>
      </c>
      <c r="AV46" s="4" t="str">
        <f>"1932"</f>
        <v>1932</v>
      </c>
      <c r="AW46" s="4" t="str">
        <f>"30,00"</f>
        <v>30,00</v>
      </c>
      <c r="AX46" s="4" t="str">
        <f>"2029-2031"</f>
        <v>2029-2031</v>
      </c>
      <c r="AY46" s="4" t="str">
        <f t="shared" si="46"/>
        <v>нет</v>
      </c>
      <c r="AZ46" s="4" t="str">
        <f>""</f>
        <v/>
      </c>
      <c r="BA46" s="4" t="str">
        <f>""</f>
        <v/>
      </c>
      <c r="BB46" s="4" t="str">
        <f>""</f>
        <v/>
      </c>
      <c r="BC46" s="4" t="str">
        <f t="shared" si="47"/>
        <v>нет</v>
      </c>
      <c r="BD46" s="4" t="str">
        <f>""</f>
        <v/>
      </c>
      <c r="BE46" s="4" t="str">
        <f>""</f>
        <v/>
      </c>
      <c r="BF46" s="4" t="str">
        <f>""</f>
        <v/>
      </c>
      <c r="BG46" s="4" t="str">
        <f>"1932"</f>
        <v>1932</v>
      </c>
      <c r="BH46" s="4" t="str">
        <f>"30,00"</f>
        <v>30,00</v>
      </c>
      <c r="BI46" s="4" t="str">
        <f>"2029-2031"</f>
        <v>2029-2031</v>
      </c>
      <c r="BJ46" s="4" t="str">
        <f t="shared" si="41"/>
        <v>нет</v>
      </c>
      <c r="BK46" s="4" t="str">
        <f>""</f>
        <v/>
      </c>
      <c r="BL46" s="4" t="str">
        <f>""</f>
        <v/>
      </c>
      <c r="BM46" s="4" t="str">
        <f>""</f>
        <v/>
      </c>
      <c r="BN46" s="4" t="str">
        <f t="shared" si="42"/>
        <v>нет</v>
      </c>
      <c r="BO46" s="4" t="str">
        <f>""</f>
        <v/>
      </c>
      <c r="BP46" s="4" t="str">
        <f>""</f>
        <v/>
      </c>
      <c r="BQ46" s="4" t="str">
        <f>""</f>
        <v/>
      </c>
      <c r="BR46" s="4" t="str">
        <f>"1932"</f>
        <v>1932</v>
      </c>
      <c r="BS46" s="4" t="str">
        <f>"30,00"</f>
        <v>30,00</v>
      </c>
      <c r="BT46" s="4" t="str">
        <f>"2029-2031"</f>
        <v>2029-2031</v>
      </c>
      <c r="BU46" s="4" t="str">
        <f t="shared" si="5"/>
        <v>нет</v>
      </c>
      <c r="BV46" s="4" t="str">
        <f t="shared" si="34"/>
        <v>x</v>
      </c>
      <c r="BW46" s="4" t="str">
        <f t="shared" si="34"/>
        <v>x</v>
      </c>
      <c r="BX46" s="4" t="str">
        <f t="shared" si="34"/>
        <v>x</v>
      </c>
      <c r="BY46" s="4" t="str">
        <f t="shared" ref="BY46:BY77" si="49">"нет"</f>
        <v>нет</v>
      </c>
      <c r="BZ46" s="4" t="str">
        <f t="shared" si="35"/>
        <v>x</v>
      </c>
      <c r="CA46" s="4" t="str">
        <f t="shared" si="35"/>
        <v>x</v>
      </c>
      <c r="CB46" s="4" t="str">
        <f t="shared" si="35"/>
        <v>x</v>
      </c>
      <c r="CC46" s="4" t="str">
        <f>"1932"</f>
        <v>1932</v>
      </c>
      <c r="CD46" s="4" t="str">
        <f>"50,00"</f>
        <v>50,00</v>
      </c>
      <c r="CE46" s="4" t="str">
        <f>"2029-2031"</f>
        <v>2029-2031</v>
      </c>
      <c r="CF46" s="4" t="str">
        <f>"1932"</f>
        <v>1932</v>
      </c>
      <c r="CG46" s="4" t="str">
        <f>"40,00"</f>
        <v>40,00</v>
      </c>
      <c r="CH46" s="4" t="str">
        <f>"2029-2031"</f>
        <v>2029-2031</v>
      </c>
      <c r="CI46" s="4" t="str">
        <f>"30,00"</f>
        <v>30,00</v>
      </c>
      <c r="CJ46" s="4" t="str">
        <f>"2029-2031"</f>
        <v>2029-2031</v>
      </c>
    </row>
    <row r="47" spans="1:88" ht="11.25" customHeight="1">
      <c r="A47" s="45" t="str">
        <f>"24.34"</f>
        <v>24.34</v>
      </c>
      <c r="B47" s="46" t="str">
        <f>"г. Харовск, ул. Кирова, д.8"</f>
        <v>г. Харовск, ул. Кирова, д.8</v>
      </c>
      <c r="C47" s="6" t="str">
        <f>"1932"</f>
        <v>1932</v>
      </c>
      <c r="D47" s="4" t="str">
        <f>"1932"</f>
        <v>1932</v>
      </c>
      <c r="E47" s="4" t="str">
        <f>"20,00"</f>
        <v>20,00</v>
      </c>
      <c r="F47" s="4" t="str">
        <f>"2031-2033"</f>
        <v>2031-2033</v>
      </c>
      <c r="G47" s="4" t="str">
        <f t="shared" si="43"/>
        <v>нет</v>
      </c>
      <c r="H47" s="4" t="str">
        <f>""</f>
        <v/>
      </c>
      <c r="I47" s="4" t="str">
        <f>""</f>
        <v/>
      </c>
      <c r="J47" s="4" t="str">
        <f>""</f>
        <v/>
      </c>
      <c r="K47" s="4" t="str">
        <f t="shared" si="1"/>
        <v>нет</v>
      </c>
      <c r="L47" s="4" t="str">
        <f>""</f>
        <v/>
      </c>
      <c r="M47" s="4" t="str">
        <f>""</f>
        <v/>
      </c>
      <c r="N47" s="4" t="str">
        <f>""</f>
        <v/>
      </c>
      <c r="O47" s="7" t="str">
        <f>"1932"</f>
        <v>1932</v>
      </c>
      <c r="P47" s="4" t="str">
        <f>"20,00"</f>
        <v>20,00</v>
      </c>
      <c r="Q47" s="4" t="str">
        <f>"2031-2033"</f>
        <v>2031-2033</v>
      </c>
      <c r="R47" s="4" t="str">
        <f>"нет"</f>
        <v>нет</v>
      </c>
      <c r="S47" s="4" t="str">
        <f>""</f>
        <v/>
      </c>
      <c r="T47" s="4" t="str">
        <f>""</f>
        <v/>
      </c>
      <c r="U47" s="4" t="str">
        <f>""</f>
        <v/>
      </c>
      <c r="V47" s="4" t="str">
        <f t="shared" si="39"/>
        <v>нет</v>
      </c>
      <c r="W47" s="4" t="str">
        <f>""</f>
        <v/>
      </c>
      <c r="X47" s="4" t="str">
        <f>""</f>
        <v/>
      </c>
      <c r="Y47" s="8" t="str">
        <f>""</f>
        <v/>
      </c>
      <c r="Z47" s="4" t="str">
        <f t="shared" si="48"/>
        <v>х</v>
      </c>
      <c r="AA47" s="4" t="str">
        <f t="shared" si="48"/>
        <v>х</v>
      </c>
      <c r="AB47" s="4" t="str">
        <f t="shared" si="48"/>
        <v>х</v>
      </c>
      <c r="AC47" s="4" t="str">
        <f t="shared" si="48"/>
        <v>х</v>
      </c>
      <c r="AD47" s="4" t="str">
        <f t="shared" si="48"/>
        <v>х</v>
      </c>
      <c r="AE47" s="4" t="str">
        <f t="shared" si="48"/>
        <v>х</v>
      </c>
      <c r="AF47" s="4" t="str">
        <f t="shared" si="48"/>
        <v>х</v>
      </c>
      <c r="AG47" s="4" t="str">
        <f t="shared" si="48"/>
        <v>х</v>
      </c>
      <c r="AH47" s="4" t="str">
        <f t="shared" si="48"/>
        <v>х</v>
      </c>
      <c r="AI47" s="4" t="str">
        <f t="shared" si="48"/>
        <v>х</v>
      </c>
      <c r="AJ47" s="4" t="str">
        <f t="shared" si="48"/>
        <v>х</v>
      </c>
      <c r="AK47" s="7" t="str">
        <f>"1932"</f>
        <v>1932</v>
      </c>
      <c r="AL47" s="4" t="str">
        <f>"20,00"</f>
        <v>20,00</v>
      </c>
      <c r="AM47" s="4" t="str">
        <f>"2031-2033"</f>
        <v>2031-2033</v>
      </c>
      <c r="AN47" s="4" t="str">
        <f>"нет"</f>
        <v>нет</v>
      </c>
      <c r="AO47" s="4" t="str">
        <f>""</f>
        <v/>
      </c>
      <c r="AP47" s="4" t="str">
        <f>""</f>
        <v/>
      </c>
      <c r="AQ47" s="4" t="str">
        <f>""</f>
        <v/>
      </c>
      <c r="AR47" s="4" t="str">
        <f t="shared" si="40"/>
        <v>нет</v>
      </c>
      <c r="AS47" s="4" t="str">
        <f>""</f>
        <v/>
      </c>
      <c r="AT47" s="4" t="str">
        <f>""</f>
        <v/>
      </c>
      <c r="AU47" s="4" t="str">
        <f>""</f>
        <v/>
      </c>
      <c r="AV47" s="4" t="str">
        <f>"1932"</f>
        <v>1932</v>
      </c>
      <c r="AW47" s="4" t="str">
        <f>"20,00"</f>
        <v>20,00</v>
      </c>
      <c r="AX47" s="4" t="str">
        <f>"2031-2033"</f>
        <v>2031-2033</v>
      </c>
      <c r="AY47" s="4" t="str">
        <f t="shared" si="46"/>
        <v>нет</v>
      </c>
      <c r="AZ47" s="4" t="str">
        <f>""</f>
        <v/>
      </c>
      <c r="BA47" s="4" t="str">
        <f>""</f>
        <v/>
      </c>
      <c r="BB47" s="4" t="str">
        <f>""</f>
        <v/>
      </c>
      <c r="BC47" s="4" t="str">
        <f t="shared" si="47"/>
        <v>нет</v>
      </c>
      <c r="BD47" s="4" t="str">
        <f>""</f>
        <v/>
      </c>
      <c r="BE47" s="4" t="str">
        <f>""</f>
        <v/>
      </c>
      <c r="BF47" s="4" t="str">
        <f>""</f>
        <v/>
      </c>
      <c r="BG47" s="4" t="str">
        <f>"1932"</f>
        <v>1932</v>
      </c>
      <c r="BH47" s="4" t="str">
        <f>"20,00"</f>
        <v>20,00</v>
      </c>
      <c r="BI47" s="4" t="str">
        <f>"2031-2033"</f>
        <v>2031-2033</v>
      </c>
      <c r="BJ47" s="4" t="str">
        <f t="shared" si="41"/>
        <v>нет</v>
      </c>
      <c r="BK47" s="4" t="str">
        <f>""</f>
        <v/>
      </c>
      <c r="BL47" s="4" t="str">
        <f>""</f>
        <v/>
      </c>
      <c r="BM47" s="4" t="str">
        <f>""</f>
        <v/>
      </c>
      <c r="BN47" s="4" t="str">
        <f t="shared" si="42"/>
        <v>нет</v>
      </c>
      <c r="BO47" s="4" t="str">
        <f>""</f>
        <v/>
      </c>
      <c r="BP47" s="4" t="str">
        <f>""</f>
        <v/>
      </c>
      <c r="BQ47" s="4" t="str">
        <f>""</f>
        <v/>
      </c>
      <c r="BR47" s="4" t="str">
        <f>"1932"</f>
        <v>1932</v>
      </c>
      <c r="BS47" s="4" t="str">
        <f>"20,00"</f>
        <v>20,00</v>
      </c>
      <c r="BT47" s="4" t="str">
        <f>"2031-2033"</f>
        <v>2031-2033</v>
      </c>
      <c r="BU47" s="4" t="str">
        <f t="shared" si="5"/>
        <v>нет</v>
      </c>
      <c r="BV47" s="4" t="str">
        <f t="shared" si="34"/>
        <v>x</v>
      </c>
      <c r="BW47" s="4" t="str">
        <f t="shared" si="34"/>
        <v>x</v>
      </c>
      <c r="BX47" s="4" t="str">
        <f t="shared" si="34"/>
        <v>x</v>
      </c>
      <c r="BY47" s="4" t="str">
        <f t="shared" si="49"/>
        <v>нет</v>
      </c>
      <c r="BZ47" s="4" t="str">
        <f t="shared" si="35"/>
        <v>x</v>
      </c>
      <c r="CA47" s="4" t="str">
        <f t="shared" si="35"/>
        <v>x</v>
      </c>
      <c r="CB47" s="4" t="str">
        <f t="shared" si="35"/>
        <v>x</v>
      </c>
      <c r="CC47" s="4" t="str">
        <f>"1932"</f>
        <v>1932</v>
      </c>
      <c r="CD47" s="4" t="str">
        <f>"40,00"</f>
        <v>40,00</v>
      </c>
      <c r="CE47" s="4" t="str">
        <f>"2031-2033"</f>
        <v>2031-2033</v>
      </c>
      <c r="CF47" s="4" t="str">
        <f>"1932"</f>
        <v>1932</v>
      </c>
      <c r="CG47" s="4" t="str">
        <f>"35,00"</f>
        <v>35,00</v>
      </c>
      <c r="CH47" s="4" t="str">
        <f>"2031-2033"</f>
        <v>2031-2033</v>
      </c>
      <c r="CI47" s="4" t="str">
        <f>"22,00"</f>
        <v>22,00</v>
      </c>
      <c r="CJ47" s="4" t="str">
        <f>"2031-2033"</f>
        <v>2031-2033</v>
      </c>
    </row>
    <row r="48" spans="1:88" ht="11.25" customHeight="1">
      <c r="A48" s="45" t="str">
        <f>"24.35"</f>
        <v>24.35</v>
      </c>
      <c r="B48" s="46" t="str">
        <f>"г. Харовск, ул. Клубная, д.20"</f>
        <v>г. Харовск, ул. Клубная, д.20</v>
      </c>
      <c r="C48" s="6" t="str">
        <f>"1991"</f>
        <v>1991</v>
      </c>
      <c r="D48" s="4" t="str">
        <f>"1991"</f>
        <v>1991</v>
      </c>
      <c r="E48" s="4" t="str">
        <f>"30,00"</f>
        <v>30,00</v>
      </c>
      <c r="F48" s="4" t="str">
        <f>"2034-2036"</f>
        <v>2034-2036</v>
      </c>
      <c r="G48" s="4" t="str">
        <f t="shared" si="43"/>
        <v>нет</v>
      </c>
      <c r="H48" s="4" t="str">
        <f>""</f>
        <v/>
      </c>
      <c r="I48" s="4" t="str">
        <f>""</f>
        <v/>
      </c>
      <c r="J48" s="4" t="str">
        <f>""</f>
        <v/>
      </c>
      <c r="K48" s="4" t="str">
        <f t="shared" si="1"/>
        <v>нет</v>
      </c>
      <c r="L48" s="4" t="str">
        <f>""</f>
        <v/>
      </c>
      <c r="M48" s="4" t="str">
        <f>""</f>
        <v/>
      </c>
      <c r="N48" s="4" t="str">
        <f>""</f>
        <v/>
      </c>
      <c r="O48" s="7" t="str">
        <f>"1991"</f>
        <v>1991</v>
      </c>
      <c r="P48" s="4" t="str">
        <f>"30,00"</f>
        <v>30,00</v>
      </c>
      <c r="Q48" s="4" t="str">
        <f>"2034-2036"</f>
        <v>2034-2036</v>
      </c>
      <c r="R48" s="4" t="str">
        <f t="shared" ref="R48:R54" si="50">"да"</f>
        <v>да</v>
      </c>
      <c r="S48" s="4" t="str">
        <f>"2009"</f>
        <v>2009</v>
      </c>
      <c r="T48" s="4" t="str">
        <f>"75,00"</f>
        <v>75,00</v>
      </c>
      <c r="U48" s="4" t="str">
        <f>"2034-2036"</f>
        <v>2034-2036</v>
      </c>
      <c r="V48" s="4" t="str">
        <f t="shared" si="39"/>
        <v>нет</v>
      </c>
      <c r="W48" s="4" t="str">
        <f>""</f>
        <v/>
      </c>
      <c r="X48" s="4" t="str">
        <f>""</f>
        <v/>
      </c>
      <c r="Y48" s="8" t="str">
        <f>""</f>
        <v/>
      </c>
      <c r="Z48" s="4" t="str">
        <f t="shared" si="48"/>
        <v>х</v>
      </c>
      <c r="AA48" s="4" t="str">
        <f t="shared" si="48"/>
        <v>х</v>
      </c>
      <c r="AB48" s="4" t="str">
        <f t="shared" si="48"/>
        <v>х</v>
      </c>
      <c r="AC48" s="4" t="str">
        <f t="shared" si="48"/>
        <v>х</v>
      </c>
      <c r="AD48" s="4" t="str">
        <f t="shared" si="48"/>
        <v>х</v>
      </c>
      <c r="AE48" s="4" t="str">
        <f t="shared" si="48"/>
        <v>х</v>
      </c>
      <c r="AF48" s="4" t="str">
        <f t="shared" si="48"/>
        <v>х</v>
      </c>
      <c r="AG48" s="4" t="str">
        <f t="shared" si="48"/>
        <v>х</v>
      </c>
      <c r="AH48" s="4" t="str">
        <f t="shared" si="48"/>
        <v>х</v>
      </c>
      <c r="AI48" s="4" t="str">
        <f t="shared" si="48"/>
        <v>х</v>
      </c>
      <c r="AJ48" s="4" t="str">
        <f t="shared" si="48"/>
        <v>х</v>
      </c>
      <c r="AK48" s="7" t="str">
        <f>"1991"</f>
        <v>1991</v>
      </c>
      <c r="AL48" s="4" t="str">
        <f>"30,00"</f>
        <v>30,00</v>
      </c>
      <c r="AM48" s="4" t="str">
        <f>"2034-2036"</f>
        <v>2034-2036</v>
      </c>
      <c r="AN48" s="4" t="str">
        <f>"да"</f>
        <v>да</v>
      </c>
      <c r="AO48" s="4" t="str">
        <f>"2013"</f>
        <v>2013</v>
      </c>
      <c r="AP48" s="4" t="str">
        <f>"0,00"</f>
        <v>0,00</v>
      </c>
      <c r="AQ48" s="4" t="str">
        <f>"2019-2021"</f>
        <v>2019-2021</v>
      </c>
      <c r="AR48" s="4" t="str">
        <f t="shared" si="40"/>
        <v>нет</v>
      </c>
      <c r="AS48" s="4" t="str">
        <f>""</f>
        <v/>
      </c>
      <c r="AT48" s="4" t="str">
        <f>""</f>
        <v/>
      </c>
      <c r="AU48" s="4" t="str">
        <f>""</f>
        <v/>
      </c>
      <c r="AV48" s="4" t="str">
        <f>"1991"</f>
        <v>1991</v>
      </c>
      <c r="AW48" s="4" t="str">
        <f>"30,00"</f>
        <v>30,00</v>
      </c>
      <c r="AX48" s="4" t="str">
        <f>"2034-2036"</f>
        <v>2034-2036</v>
      </c>
      <c r="AY48" s="4" t="str">
        <f t="shared" si="46"/>
        <v>нет</v>
      </c>
      <c r="AZ48" s="4" t="str">
        <f>""</f>
        <v/>
      </c>
      <c r="BA48" s="4" t="str">
        <f>""</f>
        <v/>
      </c>
      <c r="BB48" s="4" t="str">
        <f>""</f>
        <v/>
      </c>
      <c r="BC48" s="4" t="str">
        <f t="shared" si="47"/>
        <v>нет</v>
      </c>
      <c r="BD48" s="4" t="str">
        <f>""</f>
        <v/>
      </c>
      <c r="BE48" s="4" t="str">
        <f>""</f>
        <v/>
      </c>
      <c r="BF48" s="4" t="str">
        <f>""</f>
        <v/>
      </c>
      <c r="BG48" s="4" t="str">
        <f>"1991"</f>
        <v>1991</v>
      </c>
      <c r="BH48" s="4" t="str">
        <f>"30,00"</f>
        <v>30,00</v>
      </c>
      <c r="BI48" s="4" t="str">
        <f>"2034-2036"</f>
        <v>2034-2036</v>
      </c>
      <c r="BJ48" s="4" t="str">
        <f t="shared" si="41"/>
        <v>нет</v>
      </c>
      <c r="BK48" s="4" t="str">
        <f>""</f>
        <v/>
      </c>
      <c r="BL48" s="4" t="str">
        <f>""</f>
        <v/>
      </c>
      <c r="BM48" s="4" t="str">
        <f>""</f>
        <v/>
      </c>
      <c r="BN48" s="4" t="str">
        <f t="shared" si="42"/>
        <v>нет</v>
      </c>
      <c r="BO48" s="4" t="str">
        <f>""</f>
        <v/>
      </c>
      <c r="BP48" s="4" t="str">
        <f>""</f>
        <v/>
      </c>
      <c r="BQ48" s="4" t="str">
        <f>""</f>
        <v/>
      </c>
      <c r="BR48" s="4" t="str">
        <f>"1991"</f>
        <v>1991</v>
      </c>
      <c r="BS48" s="4" t="str">
        <f>"35,00"</f>
        <v>35,00</v>
      </c>
      <c r="BT48" s="4" t="str">
        <f>"2034-2036"</f>
        <v>2034-2036</v>
      </c>
      <c r="BU48" s="4" t="str">
        <f t="shared" si="5"/>
        <v>нет</v>
      </c>
      <c r="BV48" s="4" t="str">
        <f t="shared" si="34"/>
        <v>x</v>
      </c>
      <c r="BW48" s="4" t="str">
        <f t="shared" si="34"/>
        <v>x</v>
      </c>
      <c r="BX48" s="4" t="str">
        <f t="shared" si="34"/>
        <v>x</v>
      </c>
      <c r="BY48" s="4" t="str">
        <f t="shared" si="49"/>
        <v>нет</v>
      </c>
      <c r="BZ48" s="4" t="str">
        <f t="shared" si="35"/>
        <v>x</v>
      </c>
      <c r="CA48" s="4" t="str">
        <f t="shared" si="35"/>
        <v>x</v>
      </c>
      <c r="CB48" s="4" t="str">
        <f t="shared" si="35"/>
        <v>x</v>
      </c>
      <c r="CC48" s="4" t="str">
        <f>"1991"</f>
        <v>1991</v>
      </c>
      <c r="CD48" s="4" t="str">
        <f>"35,00"</f>
        <v>35,00</v>
      </c>
      <c r="CE48" s="4" t="str">
        <f>"2034-2036"</f>
        <v>2034-2036</v>
      </c>
      <c r="CF48" s="4" t="str">
        <f>"1991"</f>
        <v>1991</v>
      </c>
      <c r="CG48" s="4" t="str">
        <f>"24,00"</f>
        <v>24,00</v>
      </c>
      <c r="CH48" s="4" t="str">
        <f>"2034-2036"</f>
        <v>2034-2036</v>
      </c>
      <c r="CI48" s="4" t="str">
        <f>"27,00"</f>
        <v>27,00</v>
      </c>
      <c r="CJ48" s="4" t="str">
        <f>"2034-2036"</f>
        <v>2034-2036</v>
      </c>
    </row>
    <row r="49" spans="1:88" ht="11.25" customHeight="1">
      <c r="A49" s="45" t="str">
        <f>"24.36"</f>
        <v>24.36</v>
      </c>
      <c r="B49" s="46" t="str">
        <f>"г. Харовск, ул. Клубная, д.3"</f>
        <v>г. Харовск, ул. Клубная, д.3</v>
      </c>
      <c r="C49" s="6" t="str">
        <f>"1956"</f>
        <v>1956</v>
      </c>
      <c r="D49" s="4" t="str">
        <f>"1956"</f>
        <v>1956</v>
      </c>
      <c r="E49" s="4" t="str">
        <f>"50,00"</f>
        <v>50,00</v>
      </c>
      <c r="F49" s="4" t="str">
        <f>"2027-2029"</f>
        <v>2027-2029</v>
      </c>
      <c r="G49" s="4" t="str">
        <f t="shared" si="43"/>
        <v>нет</v>
      </c>
      <c r="H49" s="4" t="str">
        <f>""</f>
        <v/>
      </c>
      <c r="I49" s="4" t="str">
        <f>""</f>
        <v/>
      </c>
      <c r="J49" s="4" t="str">
        <f>""</f>
        <v/>
      </c>
      <c r="K49" s="4" t="str">
        <f t="shared" si="1"/>
        <v>нет</v>
      </c>
      <c r="L49" s="4" t="str">
        <f>""</f>
        <v/>
      </c>
      <c r="M49" s="4" t="str">
        <f>""</f>
        <v/>
      </c>
      <c r="N49" s="4" t="str">
        <f>""</f>
        <v/>
      </c>
      <c r="O49" s="7" t="str">
        <f>"1956"</f>
        <v>1956</v>
      </c>
      <c r="P49" s="4" t="str">
        <f>"50,00"</f>
        <v>50,00</v>
      </c>
      <c r="Q49" s="4" t="str">
        <f>"2017-2019"</f>
        <v>2017-2019</v>
      </c>
      <c r="R49" s="4" t="str">
        <f t="shared" si="50"/>
        <v>да</v>
      </c>
      <c r="S49" s="4" t="str">
        <f>"2012"</f>
        <v>2012</v>
      </c>
      <c r="T49" s="4" t="str">
        <f>"25,00"</f>
        <v>25,00</v>
      </c>
      <c r="U49" s="4" t="str">
        <f>"2017-2019"</f>
        <v>2017-2019</v>
      </c>
      <c r="V49" s="4" t="str">
        <f t="shared" si="39"/>
        <v>нет</v>
      </c>
      <c r="W49" s="4" t="str">
        <f>""</f>
        <v/>
      </c>
      <c r="X49" s="4" t="str">
        <f>""</f>
        <v/>
      </c>
      <c r="Y49" s="8" t="str">
        <f>""</f>
        <v/>
      </c>
      <c r="Z49" s="4" t="str">
        <f t="shared" si="48"/>
        <v>х</v>
      </c>
      <c r="AA49" s="4" t="str">
        <f t="shared" si="48"/>
        <v>х</v>
      </c>
      <c r="AB49" s="4" t="str">
        <f t="shared" si="48"/>
        <v>х</v>
      </c>
      <c r="AC49" s="4" t="str">
        <f t="shared" si="48"/>
        <v>х</v>
      </c>
      <c r="AD49" s="4" t="str">
        <f t="shared" si="48"/>
        <v>х</v>
      </c>
      <c r="AE49" s="4" t="str">
        <f t="shared" si="48"/>
        <v>х</v>
      </c>
      <c r="AF49" s="4" t="str">
        <f t="shared" si="48"/>
        <v>х</v>
      </c>
      <c r="AG49" s="4" t="str">
        <f t="shared" si="48"/>
        <v>х</v>
      </c>
      <c r="AH49" s="4" t="str">
        <f t="shared" si="48"/>
        <v>х</v>
      </c>
      <c r="AI49" s="4" t="str">
        <f t="shared" si="48"/>
        <v>х</v>
      </c>
      <c r="AJ49" s="4" t="str">
        <f t="shared" si="48"/>
        <v>х</v>
      </c>
      <c r="AK49" s="7" t="str">
        <f>"1956"</f>
        <v>1956</v>
      </c>
      <c r="AL49" s="4" t="str">
        <f>"50,00"</f>
        <v>50,00</v>
      </c>
      <c r="AM49" s="4" t="str">
        <f>"2027-2029"</f>
        <v>2027-2029</v>
      </c>
      <c r="AN49" s="4" t="str">
        <f t="shared" ref="AN49:AN54" si="51">"нет"</f>
        <v>нет</v>
      </c>
      <c r="AO49" s="4" t="str">
        <f>""</f>
        <v/>
      </c>
      <c r="AP49" s="4" t="str">
        <f>""</f>
        <v/>
      </c>
      <c r="AQ49" s="4" t="str">
        <f>""</f>
        <v/>
      </c>
      <c r="AR49" s="4" t="str">
        <f t="shared" si="40"/>
        <v>нет</v>
      </c>
      <c r="AS49" s="4" t="str">
        <f>""</f>
        <v/>
      </c>
      <c r="AT49" s="4" t="str">
        <f>""</f>
        <v/>
      </c>
      <c r="AU49" s="4" t="str">
        <f>""</f>
        <v/>
      </c>
      <c r="AV49" s="4" t="str">
        <f>"1956"</f>
        <v>1956</v>
      </c>
      <c r="AW49" s="4" t="str">
        <f>"50,00"</f>
        <v>50,00</v>
      </c>
      <c r="AX49" s="4" t="str">
        <f>"2027-2029"</f>
        <v>2027-2029</v>
      </c>
      <c r="AY49" s="4" t="str">
        <f t="shared" si="46"/>
        <v>нет</v>
      </c>
      <c r="AZ49" s="4" t="str">
        <f>""</f>
        <v/>
      </c>
      <c r="BA49" s="4" t="str">
        <f>""</f>
        <v/>
      </c>
      <c r="BB49" s="4" t="str">
        <f>""</f>
        <v/>
      </c>
      <c r="BC49" s="4" t="str">
        <f t="shared" si="47"/>
        <v>нет</v>
      </c>
      <c r="BD49" s="4" t="str">
        <f>""</f>
        <v/>
      </c>
      <c r="BE49" s="4" t="str">
        <f>""</f>
        <v/>
      </c>
      <c r="BF49" s="4" t="str">
        <f>""</f>
        <v/>
      </c>
      <c r="BG49" s="4" t="str">
        <f>"1956"</f>
        <v>1956</v>
      </c>
      <c r="BH49" s="4" t="str">
        <f>"50,00"</f>
        <v>50,00</v>
      </c>
      <c r="BI49" s="4" t="str">
        <f>"2027-2029"</f>
        <v>2027-2029</v>
      </c>
      <c r="BJ49" s="4" t="str">
        <f t="shared" si="41"/>
        <v>нет</v>
      </c>
      <c r="BK49" s="4" t="str">
        <f>""</f>
        <v/>
      </c>
      <c r="BL49" s="4" t="str">
        <f>""</f>
        <v/>
      </c>
      <c r="BM49" s="4" t="str">
        <f>""</f>
        <v/>
      </c>
      <c r="BN49" s="4" t="str">
        <f t="shared" si="42"/>
        <v>нет</v>
      </c>
      <c r="BO49" s="4" t="str">
        <f>""</f>
        <v/>
      </c>
      <c r="BP49" s="4" t="str">
        <f>""</f>
        <v/>
      </c>
      <c r="BQ49" s="4" t="str">
        <f>""</f>
        <v/>
      </c>
      <c r="BR49" s="4" t="str">
        <f>"1956"</f>
        <v>1956</v>
      </c>
      <c r="BS49" s="4" t="str">
        <f>"60,00"</f>
        <v>60,00</v>
      </c>
      <c r="BT49" s="4" t="str">
        <f>"2017-2019"</f>
        <v>2017-2019</v>
      </c>
      <c r="BU49" s="4" t="str">
        <f t="shared" si="5"/>
        <v>нет</v>
      </c>
      <c r="BV49" s="4" t="str">
        <f t="shared" si="34"/>
        <v>x</v>
      </c>
      <c r="BW49" s="4" t="str">
        <f t="shared" si="34"/>
        <v>x</v>
      </c>
      <c r="BX49" s="4" t="str">
        <f t="shared" si="34"/>
        <v>x</v>
      </c>
      <c r="BY49" s="4" t="str">
        <f t="shared" si="49"/>
        <v>нет</v>
      </c>
      <c r="BZ49" s="4" t="str">
        <f t="shared" si="35"/>
        <v>x</v>
      </c>
      <c r="CA49" s="4" t="str">
        <f t="shared" si="35"/>
        <v>x</v>
      </c>
      <c r="CB49" s="4" t="str">
        <f t="shared" si="35"/>
        <v>x</v>
      </c>
      <c r="CC49" s="4" t="str">
        <f>"1956"</f>
        <v>1956</v>
      </c>
      <c r="CD49" s="4" t="str">
        <f>"65,00"</f>
        <v>65,00</v>
      </c>
      <c r="CE49" s="4" t="str">
        <f>"2017-2019"</f>
        <v>2017-2019</v>
      </c>
      <c r="CF49" s="4" t="str">
        <f>"1956"</f>
        <v>1956</v>
      </c>
      <c r="CG49" s="4" t="str">
        <f>"55,00"</f>
        <v>55,00</v>
      </c>
      <c r="CH49" s="4" t="str">
        <f>"2027-2029"</f>
        <v>2027-2029</v>
      </c>
      <c r="CI49" s="4" t="str">
        <f>"55,00"</f>
        <v>55,00</v>
      </c>
      <c r="CJ49" s="4" t="str">
        <f>"2017-2019"</f>
        <v>2017-2019</v>
      </c>
    </row>
    <row r="50" spans="1:88" ht="11.25" customHeight="1">
      <c r="A50" s="45" t="str">
        <f>"24.37"</f>
        <v>24.37</v>
      </c>
      <c r="B50" s="46" t="str">
        <f>"г. Харовск, ул. Красное Знамя, д.11"</f>
        <v>г. Харовск, ул. Красное Знамя, д.11</v>
      </c>
      <c r="C50" s="6" t="str">
        <f>"1975"</f>
        <v>1975</v>
      </c>
      <c r="D50" s="4" t="str">
        <f>"1975"</f>
        <v>1975</v>
      </c>
      <c r="E50" s="4" t="str">
        <f>"45,00"</f>
        <v>45,00</v>
      </c>
      <c r="F50" s="4" t="str">
        <f>"2026-2028"</f>
        <v>2026-2028</v>
      </c>
      <c r="G50" s="4" t="str">
        <f t="shared" si="43"/>
        <v>нет</v>
      </c>
      <c r="H50" s="4" t="str">
        <f>""</f>
        <v/>
      </c>
      <c r="I50" s="4" t="str">
        <f>""</f>
        <v/>
      </c>
      <c r="J50" s="4" t="str">
        <f>""</f>
        <v/>
      </c>
      <c r="K50" s="4" t="str">
        <f t="shared" si="1"/>
        <v>нет</v>
      </c>
      <c r="L50" s="4" t="str">
        <f>""</f>
        <v/>
      </c>
      <c r="M50" s="4" t="str">
        <f>""</f>
        <v/>
      </c>
      <c r="N50" s="4" t="str">
        <f>""</f>
        <v/>
      </c>
      <c r="O50" s="7" t="str">
        <f>"1975"</f>
        <v>1975</v>
      </c>
      <c r="P50" s="4" t="str">
        <f>"45,00"</f>
        <v>45,00</v>
      </c>
      <c r="Q50" s="4" t="str">
        <f>"2026-2028"</f>
        <v>2026-2028</v>
      </c>
      <c r="R50" s="4" t="str">
        <f t="shared" si="50"/>
        <v>да</v>
      </c>
      <c r="S50" s="4" t="str">
        <f>"2009"</f>
        <v>2009</v>
      </c>
      <c r="T50" s="4" t="str">
        <f>"75,00"</f>
        <v>75,00</v>
      </c>
      <c r="U50" s="4" t="str">
        <f>"2026-2028"</f>
        <v>2026-2028</v>
      </c>
      <c r="V50" s="4" t="str">
        <f t="shared" si="39"/>
        <v>нет</v>
      </c>
      <c r="W50" s="4" t="str">
        <f>""</f>
        <v/>
      </c>
      <c r="X50" s="4" t="str">
        <f>""</f>
        <v/>
      </c>
      <c r="Y50" s="8" t="str">
        <f>""</f>
        <v/>
      </c>
      <c r="Z50" s="4" t="str">
        <f t="shared" si="48"/>
        <v>х</v>
      </c>
      <c r="AA50" s="4" t="str">
        <f t="shared" si="48"/>
        <v>х</v>
      </c>
      <c r="AB50" s="4" t="str">
        <f t="shared" si="48"/>
        <v>х</v>
      </c>
      <c r="AC50" s="4" t="str">
        <f t="shared" si="48"/>
        <v>х</v>
      </c>
      <c r="AD50" s="4" t="str">
        <f t="shared" si="48"/>
        <v>х</v>
      </c>
      <c r="AE50" s="4" t="str">
        <f t="shared" si="48"/>
        <v>х</v>
      </c>
      <c r="AF50" s="4" t="str">
        <f t="shared" si="48"/>
        <v>х</v>
      </c>
      <c r="AG50" s="4" t="str">
        <f t="shared" si="48"/>
        <v>х</v>
      </c>
      <c r="AH50" s="4" t="str">
        <f t="shared" si="48"/>
        <v>х</v>
      </c>
      <c r="AI50" s="4" t="str">
        <f t="shared" si="48"/>
        <v>х</v>
      </c>
      <c r="AJ50" s="4" t="str">
        <f t="shared" si="48"/>
        <v>х</v>
      </c>
      <c r="AK50" s="7" t="str">
        <f>"1975"</f>
        <v>1975</v>
      </c>
      <c r="AL50" s="4" t="str">
        <f>"45,00"</f>
        <v>45,00</v>
      </c>
      <c r="AM50" s="4" t="str">
        <f>"2026-2028"</f>
        <v>2026-2028</v>
      </c>
      <c r="AN50" s="4" t="str">
        <f t="shared" si="51"/>
        <v>нет</v>
      </c>
      <c r="AO50" s="4" t="str">
        <f>""</f>
        <v/>
      </c>
      <c r="AP50" s="4" t="str">
        <f>""</f>
        <v/>
      </c>
      <c r="AQ50" s="4" t="str">
        <f>""</f>
        <v/>
      </c>
      <c r="AR50" s="4" t="str">
        <f t="shared" si="40"/>
        <v>нет</v>
      </c>
      <c r="AS50" s="4" t="str">
        <f>""</f>
        <v/>
      </c>
      <c r="AT50" s="4" t="str">
        <f>""</f>
        <v/>
      </c>
      <c r="AU50" s="4" t="str">
        <f>""</f>
        <v/>
      </c>
      <c r="AV50" s="4" t="str">
        <f>"1975"</f>
        <v>1975</v>
      </c>
      <c r="AW50" s="4" t="str">
        <f>"45,00"</f>
        <v>45,00</v>
      </c>
      <c r="AX50" s="4" t="str">
        <f>"2026-2028"</f>
        <v>2026-2028</v>
      </c>
      <c r="AY50" s="4" t="str">
        <f t="shared" si="46"/>
        <v>нет</v>
      </c>
      <c r="AZ50" s="4" t="str">
        <f>""</f>
        <v/>
      </c>
      <c r="BA50" s="4" t="str">
        <f>""</f>
        <v/>
      </c>
      <c r="BB50" s="4" t="str">
        <f>""</f>
        <v/>
      </c>
      <c r="BC50" s="4" t="str">
        <f t="shared" si="47"/>
        <v>нет</v>
      </c>
      <c r="BD50" s="4" t="str">
        <f>""</f>
        <v/>
      </c>
      <c r="BE50" s="4" t="str">
        <f>""</f>
        <v/>
      </c>
      <c r="BF50" s="4" t="str">
        <f>""</f>
        <v/>
      </c>
      <c r="BG50" s="4" t="str">
        <f>"1975"</f>
        <v>1975</v>
      </c>
      <c r="BH50" s="4" t="str">
        <f>"45,00"</f>
        <v>45,00</v>
      </c>
      <c r="BI50" s="4" t="str">
        <f>"2026-2028"</f>
        <v>2026-2028</v>
      </c>
      <c r="BJ50" s="4" t="str">
        <f t="shared" si="41"/>
        <v>нет</v>
      </c>
      <c r="BK50" s="4" t="str">
        <f>""</f>
        <v/>
      </c>
      <c r="BL50" s="4" t="str">
        <f>""</f>
        <v/>
      </c>
      <c r="BM50" s="4" t="str">
        <f>""</f>
        <v/>
      </c>
      <c r="BN50" s="4" t="str">
        <f t="shared" si="42"/>
        <v>нет</v>
      </c>
      <c r="BO50" s="4" t="str">
        <f>""</f>
        <v/>
      </c>
      <c r="BP50" s="4" t="str">
        <f>""</f>
        <v/>
      </c>
      <c r="BQ50" s="4" t="str">
        <f>""</f>
        <v/>
      </c>
      <c r="BR50" s="4" t="str">
        <f>"1975"</f>
        <v>1975</v>
      </c>
      <c r="BS50" s="4" t="str">
        <f>"45,00"</f>
        <v>45,00</v>
      </c>
      <c r="BT50" s="4" t="str">
        <f>"2026-2028"</f>
        <v>2026-2028</v>
      </c>
      <c r="BU50" s="4" t="str">
        <f t="shared" si="5"/>
        <v>нет</v>
      </c>
      <c r="BV50" s="4" t="str">
        <f t="shared" si="34"/>
        <v>x</v>
      </c>
      <c r="BW50" s="4" t="str">
        <f t="shared" si="34"/>
        <v>x</v>
      </c>
      <c r="BX50" s="4" t="str">
        <f t="shared" si="34"/>
        <v>x</v>
      </c>
      <c r="BY50" s="4" t="str">
        <f t="shared" si="49"/>
        <v>нет</v>
      </c>
      <c r="BZ50" s="4" t="str">
        <f t="shared" si="35"/>
        <v>x</v>
      </c>
      <c r="CA50" s="4" t="str">
        <f t="shared" si="35"/>
        <v>x</v>
      </c>
      <c r="CB50" s="4" t="str">
        <f t="shared" si="35"/>
        <v>x</v>
      </c>
      <c r="CC50" s="4" t="str">
        <f>"1975"</f>
        <v>1975</v>
      </c>
      <c r="CD50" s="4" t="str">
        <f>"35,00"</f>
        <v>35,00</v>
      </c>
      <c r="CE50" s="4" t="str">
        <f>"2026-2028"</f>
        <v>2026-2028</v>
      </c>
      <c r="CF50" s="4" t="str">
        <f>"1975"</f>
        <v>1975</v>
      </c>
      <c r="CG50" s="4" t="str">
        <f>"35,00"</f>
        <v>35,00</v>
      </c>
      <c r="CH50" s="4" t="str">
        <f>"2026-2028"</f>
        <v>2026-2028</v>
      </c>
      <c r="CI50" s="4" t="str">
        <f>"34,00"</f>
        <v>34,00</v>
      </c>
      <c r="CJ50" s="4" t="str">
        <f>"2026-2028"</f>
        <v>2026-2028</v>
      </c>
    </row>
    <row r="51" spans="1:88" ht="11.25" customHeight="1">
      <c r="A51" s="45" t="str">
        <f>"24.38"</f>
        <v>24.38</v>
      </c>
      <c r="B51" s="46" t="str">
        <f>"г. Харовск, ул. Красное Знамя, д.18"</f>
        <v>г. Харовск, ул. Красное Знамя, д.18</v>
      </c>
      <c r="C51" s="6" t="str">
        <f>"1974"</f>
        <v>1974</v>
      </c>
      <c r="D51" s="4" t="str">
        <f>"1974"</f>
        <v>1974</v>
      </c>
      <c r="E51" s="4" t="str">
        <f>"45,00"</f>
        <v>45,00</v>
      </c>
      <c r="F51" s="4" t="str">
        <f>"2026-2028"</f>
        <v>2026-2028</v>
      </c>
      <c r="G51" s="4" t="str">
        <f t="shared" si="43"/>
        <v>нет</v>
      </c>
      <c r="H51" s="4" t="str">
        <f>""</f>
        <v/>
      </c>
      <c r="I51" s="4" t="str">
        <f>""</f>
        <v/>
      </c>
      <c r="J51" s="4" t="str">
        <f>""</f>
        <v/>
      </c>
      <c r="K51" s="4" t="str">
        <f t="shared" si="1"/>
        <v>нет</v>
      </c>
      <c r="L51" s="4" t="str">
        <f>""</f>
        <v/>
      </c>
      <c r="M51" s="4" t="str">
        <f>""</f>
        <v/>
      </c>
      <c r="N51" s="4" t="str">
        <f>""</f>
        <v/>
      </c>
      <c r="O51" s="7" t="str">
        <f>"1974"</f>
        <v>1974</v>
      </c>
      <c r="P51" s="4" t="str">
        <f>"45,00"</f>
        <v>45,00</v>
      </c>
      <c r="Q51" s="4" t="str">
        <f>"2026-2028"</f>
        <v>2026-2028</v>
      </c>
      <c r="R51" s="4" t="str">
        <f t="shared" si="50"/>
        <v>да</v>
      </c>
      <c r="S51" s="4" t="str">
        <f>"2009"</f>
        <v>2009</v>
      </c>
      <c r="T51" s="4" t="str">
        <f>"75,00"</f>
        <v>75,00</v>
      </c>
      <c r="U51" s="4" t="str">
        <f>"2026-2028"</f>
        <v>2026-2028</v>
      </c>
      <c r="V51" s="4" t="str">
        <f t="shared" si="39"/>
        <v>нет</v>
      </c>
      <c r="W51" s="4" t="str">
        <f>""</f>
        <v/>
      </c>
      <c r="X51" s="4" t="str">
        <f>""</f>
        <v/>
      </c>
      <c r="Y51" s="8" t="str">
        <f>""</f>
        <v/>
      </c>
      <c r="Z51" s="4" t="str">
        <f t="shared" si="48"/>
        <v>х</v>
      </c>
      <c r="AA51" s="4" t="str">
        <f t="shared" si="48"/>
        <v>х</v>
      </c>
      <c r="AB51" s="4" t="str">
        <f t="shared" si="48"/>
        <v>х</v>
      </c>
      <c r="AC51" s="4" t="str">
        <f t="shared" si="48"/>
        <v>х</v>
      </c>
      <c r="AD51" s="4" t="str">
        <f t="shared" si="48"/>
        <v>х</v>
      </c>
      <c r="AE51" s="4" t="str">
        <f t="shared" si="48"/>
        <v>х</v>
      </c>
      <c r="AF51" s="4" t="str">
        <f t="shared" si="48"/>
        <v>х</v>
      </c>
      <c r="AG51" s="4" t="str">
        <f t="shared" si="48"/>
        <v>х</v>
      </c>
      <c r="AH51" s="4" t="str">
        <f t="shared" si="48"/>
        <v>х</v>
      </c>
      <c r="AI51" s="4" t="str">
        <f t="shared" si="48"/>
        <v>х</v>
      </c>
      <c r="AJ51" s="4" t="str">
        <f t="shared" si="48"/>
        <v>х</v>
      </c>
      <c r="AK51" s="7" t="str">
        <f>"1974"</f>
        <v>1974</v>
      </c>
      <c r="AL51" s="4" t="str">
        <f>"45,00"</f>
        <v>45,00</v>
      </c>
      <c r="AM51" s="4" t="str">
        <f>"2026-2028"</f>
        <v>2026-2028</v>
      </c>
      <c r="AN51" s="4" t="str">
        <f t="shared" si="51"/>
        <v>нет</v>
      </c>
      <c r="AO51" s="4" t="str">
        <f>""</f>
        <v/>
      </c>
      <c r="AP51" s="4" t="str">
        <f>""</f>
        <v/>
      </c>
      <c r="AQ51" s="4" t="str">
        <f>""</f>
        <v/>
      </c>
      <c r="AR51" s="4" t="str">
        <f t="shared" si="40"/>
        <v>нет</v>
      </c>
      <c r="AS51" s="4" t="str">
        <f>""</f>
        <v/>
      </c>
      <c r="AT51" s="4" t="str">
        <f>""</f>
        <v/>
      </c>
      <c r="AU51" s="4" t="str">
        <f>""</f>
        <v/>
      </c>
      <c r="AV51" s="4" t="str">
        <f>"1974"</f>
        <v>1974</v>
      </c>
      <c r="AW51" s="4" t="str">
        <f>"45,00"</f>
        <v>45,00</v>
      </c>
      <c r="AX51" s="4" t="str">
        <f>"2026-2028"</f>
        <v>2026-2028</v>
      </c>
      <c r="AY51" s="4" t="str">
        <f t="shared" si="46"/>
        <v>нет</v>
      </c>
      <c r="AZ51" s="4" t="str">
        <f>""</f>
        <v/>
      </c>
      <c r="BA51" s="4" t="str">
        <f>""</f>
        <v/>
      </c>
      <c r="BB51" s="4" t="str">
        <f>""</f>
        <v/>
      </c>
      <c r="BC51" s="4" t="str">
        <f t="shared" si="47"/>
        <v>нет</v>
      </c>
      <c r="BD51" s="4" t="str">
        <f>""</f>
        <v/>
      </c>
      <c r="BE51" s="4" t="str">
        <f>""</f>
        <v/>
      </c>
      <c r="BF51" s="4" t="str">
        <f>""</f>
        <v/>
      </c>
      <c r="BG51" s="4" t="str">
        <f>"1974"</f>
        <v>1974</v>
      </c>
      <c r="BH51" s="4" t="str">
        <f>"45,00"</f>
        <v>45,00</v>
      </c>
      <c r="BI51" s="4" t="str">
        <f>"2026-2028"</f>
        <v>2026-2028</v>
      </c>
      <c r="BJ51" s="4" t="str">
        <f t="shared" si="41"/>
        <v>нет</v>
      </c>
      <c r="BK51" s="4" t="str">
        <f>""</f>
        <v/>
      </c>
      <c r="BL51" s="4" t="str">
        <f>""</f>
        <v/>
      </c>
      <c r="BM51" s="4" t="str">
        <f>""</f>
        <v/>
      </c>
      <c r="BN51" s="4" t="str">
        <f t="shared" si="42"/>
        <v>нет</v>
      </c>
      <c r="BO51" s="4" t="str">
        <f>""</f>
        <v/>
      </c>
      <c r="BP51" s="4" t="str">
        <f>""</f>
        <v/>
      </c>
      <c r="BQ51" s="4" t="str">
        <f>""</f>
        <v/>
      </c>
      <c r="BR51" s="4" t="str">
        <f>"1974"</f>
        <v>1974</v>
      </c>
      <c r="BS51" s="4" t="str">
        <f>"45,00"</f>
        <v>45,00</v>
      </c>
      <c r="BT51" s="4" t="str">
        <f>"2026-2028"</f>
        <v>2026-2028</v>
      </c>
      <c r="BU51" s="4" t="str">
        <f t="shared" si="5"/>
        <v>нет</v>
      </c>
      <c r="BV51" s="4" t="str">
        <f t="shared" si="34"/>
        <v>x</v>
      </c>
      <c r="BW51" s="4" t="str">
        <f t="shared" si="34"/>
        <v>x</v>
      </c>
      <c r="BX51" s="4" t="str">
        <f t="shared" si="34"/>
        <v>x</v>
      </c>
      <c r="BY51" s="4" t="str">
        <f t="shared" si="49"/>
        <v>нет</v>
      </c>
      <c r="BZ51" s="4" t="str">
        <f t="shared" si="35"/>
        <v>x</v>
      </c>
      <c r="CA51" s="4" t="str">
        <f t="shared" si="35"/>
        <v>x</v>
      </c>
      <c r="CB51" s="4" t="str">
        <f t="shared" si="35"/>
        <v>x</v>
      </c>
      <c r="CC51" s="4" t="str">
        <f>"1974"</f>
        <v>1974</v>
      </c>
      <c r="CD51" s="4" t="str">
        <f>"45,00"</f>
        <v>45,00</v>
      </c>
      <c r="CE51" s="4" t="str">
        <f>"2026-2028"</f>
        <v>2026-2028</v>
      </c>
      <c r="CF51" s="4" t="str">
        <f>"1974"</f>
        <v>1974</v>
      </c>
      <c r="CG51" s="4" t="str">
        <f>"35,00"</f>
        <v>35,00</v>
      </c>
      <c r="CH51" s="4" t="str">
        <f>"2026-2028"</f>
        <v>2026-2028</v>
      </c>
      <c r="CI51" s="4" t="str">
        <f>"36,00"</f>
        <v>36,00</v>
      </c>
      <c r="CJ51" s="4" t="str">
        <f>"2026-2028"</f>
        <v>2026-2028</v>
      </c>
    </row>
    <row r="52" spans="1:88" ht="11.25" customHeight="1">
      <c r="A52" s="45" t="str">
        <f>"24.39"</f>
        <v>24.39</v>
      </c>
      <c r="B52" s="46" t="str">
        <f>"г. Харовск, ул. Красное Знамя, д.18А"</f>
        <v>г. Харовск, ул. Красное Знамя, д.18А</v>
      </c>
      <c r="C52" s="6" t="str">
        <f>"1977"</f>
        <v>1977</v>
      </c>
      <c r="D52" s="4" t="str">
        <f>"1977"</f>
        <v>1977</v>
      </c>
      <c r="E52" s="4" t="str">
        <f>"50,00"</f>
        <v>50,00</v>
      </c>
      <c r="F52" s="4" t="str">
        <f>"2027-2029"</f>
        <v>2027-2029</v>
      </c>
      <c r="G52" s="4" t="str">
        <f t="shared" si="43"/>
        <v>нет</v>
      </c>
      <c r="H52" s="4" t="str">
        <f>""</f>
        <v/>
      </c>
      <c r="I52" s="4" t="str">
        <f>""</f>
        <v/>
      </c>
      <c r="J52" s="4" t="str">
        <f>""</f>
        <v/>
      </c>
      <c r="K52" s="4" t="str">
        <f t="shared" si="1"/>
        <v>нет</v>
      </c>
      <c r="L52" s="4" t="str">
        <f>""</f>
        <v/>
      </c>
      <c r="M52" s="4" t="str">
        <f>""</f>
        <v/>
      </c>
      <c r="N52" s="4" t="str">
        <f>""</f>
        <v/>
      </c>
      <c r="O52" s="7" t="str">
        <f>"1977"</f>
        <v>1977</v>
      </c>
      <c r="P52" s="4" t="str">
        <f>"50,00"</f>
        <v>50,00</v>
      </c>
      <c r="Q52" s="4" t="str">
        <f>"2027-2029"</f>
        <v>2027-2029</v>
      </c>
      <c r="R52" s="4" t="str">
        <f t="shared" si="50"/>
        <v>да</v>
      </c>
      <c r="S52" s="4" t="str">
        <f>"2009"</f>
        <v>2009</v>
      </c>
      <c r="T52" s="4" t="str">
        <f>"75,00"</f>
        <v>75,00</v>
      </c>
      <c r="U52" s="4" t="str">
        <f>"2027-2029"</f>
        <v>2027-2029</v>
      </c>
      <c r="V52" s="4" t="str">
        <f t="shared" si="39"/>
        <v>нет</v>
      </c>
      <c r="W52" s="4" t="str">
        <f>""</f>
        <v/>
      </c>
      <c r="X52" s="4" t="str">
        <f>""</f>
        <v/>
      </c>
      <c r="Y52" s="8" t="str">
        <f>""</f>
        <v/>
      </c>
      <c r="Z52" s="4" t="str">
        <f t="shared" si="48"/>
        <v>х</v>
      </c>
      <c r="AA52" s="4" t="str">
        <f t="shared" si="48"/>
        <v>х</v>
      </c>
      <c r="AB52" s="4" t="str">
        <f t="shared" si="48"/>
        <v>х</v>
      </c>
      <c r="AC52" s="4" t="str">
        <f t="shared" si="48"/>
        <v>х</v>
      </c>
      <c r="AD52" s="4" t="str">
        <f t="shared" si="48"/>
        <v>х</v>
      </c>
      <c r="AE52" s="4" t="str">
        <f t="shared" si="48"/>
        <v>х</v>
      </c>
      <c r="AF52" s="4" t="str">
        <f t="shared" si="48"/>
        <v>х</v>
      </c>
      <c r="AG52" s="4" t="str">
        <f t="shared" si="48"/>
        <v>х</v>
      </c>
      <c r="AH52" s="4" t="str">
        <f t="shared" si="48"/>
        <v>х</v>
      </c>
      <c r="AI52" s="4" t="str">
        <f t="shared" si="48"/>
        <v>х</v>
      </c>
      <c r="AJ52" s="4" t="str">
        <f t="shared" si="48"/>
        <v>х</v>
      </c>
      <c r="AK52" s="7" t="str">
        <f>"1974"</f>
        <v>1974</v>
      </c>
      <c r="AL52" s="4" t="str">
        <f>"50,00"</f>
        <v>50,00</v>
      </c>
      <c r="AM52" s="4" t="str">
        <f>"2027-2029"</f>
        <v>2027-2029</v>
      </c>
      <c r="AN52" s="4" t="str">
        <f t="shared" si="51"/>
        <v>нет</v>
      </c>
      <c r="AO52" s="4" t="str">
        <f>""</f>
        <v/>
      </c>
      <c r="AP52" s="4" t="str">
        <f>""</f>
        <v/>
      </c>
      <c r="AQ52" s="4" t="str">
        <f>""</f>
        <v/>
      </c>
      <c r="AR52" s="4" t="str">
        <f t="shared" si="40"/>
        <v>нет</v>
      </c>
      <c r="AS52" s="4" t="str">
        <f>""</f>
        <v/>
      </c>
      <c r="AT52" s="4" t="str">
        <f>""</f>
        <v/>
      </c>
      <c r="AU52" s="4" t="str">
        <f>""</f>
        <v/>
      </c>
      <c r="AV52" s="4" t="str">
        <f>"1974"</f>
        <v>1974</v>
      </c>
      <c r="AW52" s="4" t="str">
        <f>"50,00"</f>
        <v>50,00</v>
      </c>
      <c r="AX52" s="4" t="str">
        <f>"2027-2029"</f>
        <v>2027-2029</v>
      </c>
      <c r="AY52" s="4" t="str">
        <f t="shared" si="46"/>
        <v>нет</v>
      </c>
      <c r="AZ52" s="4" t="str">
        <f>""</f>
        <v/>
      </c>
      <c r="BA52" s="4" t="str">
        <f>""</f>
        <v/>
      </c>
      <c r="BB52" s="4" t="str">
        <f>""</f>
        <v/>
      </c>
      <c r="BC52" s="4" t="str">
        <f t="shared" si="47"/>
        <v>нет</v>
      </c>
      <c r="BD52" s="4" t="str">
        <f>""</f>
        <v/>
      </c>
      <c r="BE52" s="4" t="str">
        <f>""</f>
        <v/>
      </c>
      <c r="BF52" s="4" t="str">
        <f>""</f>
        <v/>
      </c>
      <c r="BG52" s="4" t="str">
        <f>"1974"</f>
        <v>1974</v>
      </c>
      <c r="BH52" s="4" t="str">
        <f>"50,00"</f>
        <v>50,00</v>
      </c>
      <c r="BI52" s="4" t="str">
        <f>"2027-2029"</f>
        <v>2027-2029</v>
      </c>
      <c r="BJ52" s="4" t="str">
        <f t="shared" si="41"/>
        <v>нет</v>
      </c>
      <c r="BK52" s="4" t="str">
        <f>""</f>
        <v/>
      </c>
      <c r="BL52" s="4" t="str">
        <f>""</f>
        <v/>
      </c>
      <c r="BM52" s="4" t="str">
        <f>""</f>
        <v/>
      </c>
      <c r="BN52" s="4" t="str">
        <f t="shared" si="42"/>
        <v>нет</v>
      </c>
      <c r="BO52" s="4" t="str">
        <f>""</f>
        <v/>
      </c>
      <c r="BP52" s="4" t="str">
        <f>""</f>
        <v/>
      </c>
      <c r="BQ52" s="4" t="str">
        <f>""</f>
        <v/>
      </c>
      <c r="BR52" s="4" t="str">
        <f>"1974"</f>
        <v>1974</v>
      </c>
      <c r="BS52" s="4" t="str">
        <f>"45,00"</f>
        <v>45,00</v>
      </c>
      <c r="BT52" s="4" t="str">
        <f>"2027-2029"</f>
        <v>2027-2029</v>
      </c>
      <c r="BU52" s="4" t="str">
        <f t="shared" si="5"/>
        <v>нет</v>
      </c>
      <c r="BV52" s="4" t="str">
        <f t="shared" si="34"/>
        <v>x</v>
      </c>
      <c r="BW52" s="4" t="str">
        <f t="shared" si="34"/>
        <v>x</v>
      </c>
      <c r="BX52" s="4" t="str">
        <f t="shared" si="34"/>
        <v>x</v>
      </c>
      <c r="BY52" s="4" t="str">
        <f t="shared" si="49"/>
        <v>нет</v>
      </c>
      <c r="BZ52" s="4" t="str">
        <f t="shared" si="35"/>
        <v>x</v>
      </c>
      <c r="CA52" s="4" t="str">
        <f t="shared" si="35"/>
        <v>x</v>
      </c>
      <c r="CB52" s="4" t="str">
        <f t="shared" si="35"/>
        <v>x</v>
      </c>
      <c r="CC52" s="4" t="str">
        <f>"1974"</f>
        <v>1974</v>
      </c>
      <c r="CD52" s="4" t="str">
        <f>"30,00"</f>
        <v>30,00</v>
      </c>
      <c r="CE52" s="4" t="str">
        <f>"2027-2029"</f>
        <v>2027-2029</v>
      </c>
      <c r="CF52" s="4" t="str">
        <f>"1974"</f>
        <v>1974</v>
      </c>
      <c r="CG52" s="4" t="str">
        <f>"35,00"</f>
        <v>35,00</v>
      </c>
      <c r="CH52" s="4" t="str">
        <f>"2027-2029"</f>
        <v>2027-2029</v>
      </c>
      <c r="CI52" s="4" t="str">
        <f>"35,00"</f>
        <v>35,00</v>
      </c>
      <c r="CJ52" s="4" t="str">
        <f>"2027-2029"</f>
        <v>2027-2029</v>
      </c>
    </row>
    <row r="53" spans="1:88" ht="11.25" customHeight="1">
      <c r="A53" s="45" t="str">
        <f>"24.40"</f>
        <v>24.40</v>
      </c>
      <c r="B53" s="46" t="str">
        <f>"г. Харовск, ул. Куйбышева, д.11"</f>
        <v>г. Харовск, ул. Куйбышева, д.11</v>
      </c>
      <c r="C53" s="6" t="str">
        <f>"1987"</f>
        <v>1987</v>
      </c>
      <c r="D53" s="4" t="str">
        <f>"1987"</f>
        <v>1987</v>
      </c>
      <c r="E53" s="4" t="str">
        <f>"35,00"</f>
        <v>35,00</v>
      </c>
      <c r="F53" s="4" t="str">
        <f>"2032-2034"</f>
        <v>2032-2034</v>
      </c>
      <c r="G53" s="4" t="str">
        <f t="shared" si="43"/>
        <v>нет</v>
      </c>
      <c r="H53" s="4" t="str">
        <f>""</f>
        <v/>
      </c>
      <c r="I53" s="4" t="str">
        <f>""</f>
        <v/>
      </c>
      <c r="J53" s="4" t="str">
        <f>""</f>
        <v/>
      </c>
      <c r="K53" s="4" t="str">
        <f t="shared" si="1"/>
        <v>нет</v>
      </c>
      <c r="L53" s="4" t="str">
        <f>""</f>
        <v/>
      </c>
      <c r="M53" s="4" t="str">
        <f>""</f>
        <v/>
      </c>
      <c r="N53" s="4" t="str">
        <f>""</f>
        <v/>
      </c>
      <c r="O53" s="7" t="str">
        <f>"1987"</f>
        <v>1987</v>
      </c>
      <c r="P53" s="4" t="str">
        <f>"35,00"</f>
        <v>35,00</v>
      </c>
      <c r="Q53" s="4" t="str">
        <f>"2032-2034"</f>
        <v>2032-2034</v>
      </c>
      <c r="R53" s="4" t="str">
        <f t="shared" si="50"/>
        <v>да</v>
      </c>
      <c r="S53" s="4" t="str">
        <f>"2009"</f>
        <v>2009</v>
      </c>
      <c r="T53" s="4" t="str">
        <f>"75,00"</f>
        <v>75,00</v>
      </c>
      <c r="U53" s="4" t="str">
        <f>"2032-2034"</f>
        <v>2032-2034</v>
      </c>
      <c r="V53" s="4" t="str">
        <f t="shared" si="39"/>
        <v>нет</v>
      </c>
      <c r="W53" s="4" t="str">
        <f>""</f>
        <v/>
      </c>
      <c r="X53" s="4" t="str">
        <f>""</f>
        <v/>
      </c>
      <c r="Y53" s="8" t="str">
        <f>""</f>
        <v/>
      </c>
      <c r="Z53" s="4" t="str">
        <f t="shared" si="48"/>
        <v>х</v>
      </c>
      <c r="AA53" s="4" t="str">
        <f t="shared" si="48"/>
        <v>х</v>
      </c>
      <c r="AB53" s="4" t="str">
        <f t="shared" si="48"/>
        <v>х</v>
      </c>
      <c r="AC53" s="4" t="str">
        <f t="shared" si="48"/>
        <v>х</v>
      </c>
      <c r="AD53" s="4" t="str">
        <f t="shared" si="48"/>
        <v>х</v>
      </c>
      <c r="AE53" s="4" t="str">
        <f t="shared" si="48"/>
        <v>х</v>
      </c>
      <c r="AF53" s="4" t="str">
        <f t="shared" si="48"/>
        <v>х</v>
      </c>
      <c r="AG53" s="4" t="str">
        <f t="shared" si="48"/>
        <v>х</v>
      </c>
      <c r="AH53" s="4" t="str">
        <f t="shared" si="48"/>
        <v>х</v>
      </c>
      <c r="AI53" s="4" t="str">
        <f t="shared" si="48"/>
        <v>х</v>
      </c>
      <c r="AJ53" s="4" t="str">
        <f t="shared" si="48"/>
        <v>х</v>
      </c>
      <c r="AK53" s="7" t="str">
        <f>"1987"</f>
        <v>1987</v>
      </c>
      <c r="AL53" s="4" t="str">
        <f>"35,00"</f>
        <v>35,00</v>
      </c>
      <c r="AM53" s="4" t="str">
        <f>"2032-2034"</f>
        <v>2032-2034</v>
      </c>
      <c r="AN53" s="4" t="str">
        <f t="shared" si="51"/>
        <v>нет</v>
      </c>
      <c r="AO53" s="4" t="str">
        <f>""</f>
        <v/>
      </c>
      <c r="AP53" s="4" t="str">
        <f>""</f>
        <v/>
      </c>
      <c r="AQ53" s="4" t="str">
        <f>""</f>
        <v/>
      </c>
      <c r="AR53" s="4" t="str">
        <f t="shared" si="40"/>
        <v>нет</v>
      </c>
      <c r="AS53" s="4" t="str">
        <f>""</f>
        <v/>
      </c>
      <c r="AT53" s="4" t="str">
        <f>""</f>
        <v/>
      </c>
      <c r="AU53" s="4" t="str">
        <f>""</f>
        <v/>
      </c>
      <c r="AV53" s="4" t="str">
        <f>"1987"</f>
        <v>1987</v>
      </c>
      <c r="AW53" s="4" t="str">
        <f>"35,00"</f>
        <v>35,00</v>
      </c>
      <c r="AX53" s="4" t="str">
        <f>"2032-2034"</f>
        <v>2032-2034</v>
      </c>
      <c r="AY53" s="4" t="str">
        <f t="shared" si="46"/>
        <v>нет</v>
      </c>
      <c r="AZ53" s="4" t="str">
        <f>""</f>
        <v/>
      </c>
      <c r="BA53" s="4" t="str">
        <f>""</f>
        <v/>
      </c>
      <c r="BB53" s="4" t="str">
        <f>""</f>
        <v/>
      </c>
      <c r="BC53" s="4" t="str">
        <f t="shared" si="47"/>
        <v>нет</v>
      </c>
      <c r="BD53" s="4" t="str">
        <f>""</f>
        <v/>
      </c>
      <c r="BE53" s="4" t="str">
        <f>""</f>
        <v/>
      </c>
      <c r="BF53" s="4" t="str">
        <f>""</f>
        <v/>
      </c>
      <c r="BG53" s="4" t="str">
        <f>"1987"</f>
        <v>1987</v>
      </c>
      <c r="BH53" s="4" t="str">
        <f>"35,00"</f>
        <v>35,00</v>
      </c>
      <c r="BI53" s="4" t="str">
        <f>"2032-2034"</f>
        <v>2032-2034</v>
      </c>
      <c r="BJ53" s="4" t="str">
        <f t="shared" si="41"/>
        <v>нет</v>
      </c>
      <c r="BK53" s="4" t="str">
        <f>""</f>
        <v/>
      </c>
      <c r="BL53" s="4" t="str">
        <f>""</f>
        <v/>
      </c>
      <c r="BM53" s="4" t="str">
        <f>""</f>
        <v/>
      </c>
      <c r="BN53" s="4" t="str">
        <f t="shared" si="42"/>
        <v>нет</v>
      </c>
      <c r="BO53" s="4" t="str">
        <f>""</f>
        <v/>
      </c>
      <c r="BP53" s="4" t="str">
        <f>""</f>
        <v/>
      </c>
      <c r="BQ53" s="4" t="str">
        <f>""</f>
        <v/>
      </c>
      <c r="BR53" s="4" t="str">
        <f>"1987"</f>
        <v>1987</v>
      </c>
      <c r="BS53" s="4" t="str">
        <f>"40,00"</f>
        <v>40,00</v>
      </c>
      <c r="BT53" s="4" t="str">
        <f>"2032-2034"</f>
        <v>2032-2034</v>
      </c>
      <c r="BU53" s="4" t="str">
        <f t="shared" si="5"/>
        <v>нет</v>
      </c>
      <c r="BV53" s="4" t="str">
        <f t="shared" si="34"/>
        <v>x</v>
      </c>
      <c r="BW53" s="4" t="str">
        <f t="shared" si="34"/>
        <v>x</v>
      </c>
      <c r="BX53" s="4" t="str">
        <f t="shared" si="34"/>
        <v>x</v>
      </c>
      <c r="BY53" s="4" t="str">
        <f t="shared" si="49"/>
        <v>нет</v>
      </c>
      <c r="BZ53" s="4" t="str">
        <f t="shared" si="35"/>
        <v>x</v>
      </c>
      <c r="CA53" s="4" t="str">
        <f t="shared" si="35"/>
        <v>x</v>
      </c>
      <c r="CB53" s="4" t="str">
        <f t="shared" si="35"/>
        <v>x</v>
      </c>
      <c r="CC53" s="4" t="str">
        <f>"1987"</f>
        <v>1987</v>
      </c>
      <c r="CD53" s="4" t="str">
        <f>"30,00"</f>
        <v>30,00</v>
      </c>
      <c r="CE53" s="4" t="str">
        <f>"2032-2034"</f>
        <v>2032-2034</v>
      </c>
      <c r="CF53" s="4" t="str">
        <f>"1987"</f>
        <v>1987</v>
      </c>
      <c r="CG53" s="4" t="str">
        <f>"25,00"</f>
        <v>25,00</v>
      </c>
      <c r="CH53" s="4" t="str">
        <f>"2032-2034"</f>
        <v>2032-2034</v>
      </c>
      <c r="CI53" s="4" t="str">
        <f>"26,00"</f>
        <v>26,00</v>
      </c>
      <c r="CJ53" s="4" t="str">
        <f>"2032-2034"</f>
        <v>2032-2034</v>
      </c>
    </row>
    <row r="54" spans="1:88" ht="11.25" customHeight="1">
      <c r="A54" s="45" t="str">
        <f>"24.41"</f>
        <v>24.41</v>
      </c>
      <c r="B54" s="46" t="str">
        <f>"г. Харовск, ул. Куйбышева, д.13"</f>
        <v>г. Харовск, ул. Куйбышева, д.13</v>
      </c>
      <c r="C54" s="6" t="str">
        <f>"1988"</f>
        <v>1988</v>
      </c>
      <c r="D54" s="4" t="str">
        <f>"1988"</f>
        <v>1988</v>
      </c>
      <c r="E54" s="4" t="str">
        <f>"35,00"</f>
        <v>35,00</v>
      </c>
      <c r="F54" s="4" t="str">
        <f>"2033-2035"</f>
        <v>2033-2035</v>
      </c>
      <c r="G54" s="4" t="str">
        <f t="shared" si="43"/>
        <v>нет</v>
      </c>
      <c r="H54" s="4" t="str">
        <f>""</f>
        <v/>
      </c>
      <c r="I54" s="4" t="str">
        <f>""</f>
        <v/>
      </c>
      <c r="J54" s="4" t="str">
        <f>""</f>
        <v/>
      </c>
      <c r="K54" s="4" t="str">
        <f t="shared" si="1"/>
        <v>нет</v>
      </c>
      <c r="L54" s="4" t="str">
        <f>""</f>
        <v/>
      </c>
      <c r="M54" s="4" t="str">
        <f>""</f>
        <v/>
      </c>
      <c r="N54" s="4" t="str">
        <f>""</f>
        <v/>
      </c>
      <c r="O54" s="7" t="str">
        <f>"1988"</f>
        <v>1988</v>
      </c>
      <c r="P54" s="4" t="str">
        <f>"35,00"</f>
        <v>35,00</v>
      </c>
      <c r="Q54" s="4" t="str">
        <f>"2033-2035"</f>
        <v>2033-2035</v>
      </c>
      <c r="R54" s="4" t="str">
        <f t="shared" si="50"/>
        <v>да</v>
      </c>
      <c r="S54" s="4" t="str">
        <f>"2009"</f>
        <v>2009</v>
      </c>
      <c r="T54" s="4" t="str">
        <f>"75,00"</f>
        <v>75,00</v>
      </c>
      <c r="U54" s="4" t="str">
        <f>"2033-2035"</f>
        <v>2033-2035</v>
      </c>
      <c r="V54" s="4" t="str">
        <f t="shared" si="39"/>
        <v>нет</v>
      </c>
      <c r="W54" s="4" t="str">
        <f>""</f>
        <v/>
      </c>
      <c r="X54" s="4" t="str">
        <f>""</f>
        <v/>
      </c>
      <c r="Y54" s="8" t="str">
        <f>""</f>
        <v/>
      </c>
      <c r="Z54" s="4" t="str">
        <f t="shared" si="48"/>
        <v>х</v>
      </c>
      <c r="AA54" s="4" t="str">
        <f t="shared" si="48"/>
        <v>х</v>
      </c>
      <c r="AB54" s="4" t="str">
        <f t="shared" si="48"/>
        <v>х</v>
      </c>
      <c r="AC54" s="4" t="str">
        <f t="shared" si="48"/>
        <v>х</v>
      </c>
      <c r="AD54" s="4" t="str">
        <f t="shared" si="48"/>
        <v>х</v>
      </c>
      <c r="AE54" s="4" t="str">
        <f t="shared" si="48"/>
        <v>х</v>
      </c>
      <c r="AF54" s="4" t="str">
        <f t="shared" si="48"/>
        <v>х</v>
      </c>
      <c r="AG54" s="4" t="str">
        <f t="shared" si="48"/>
        <v>х</v>
      </c>
      <c r="AH54" s="4" t="str">
        <f t="shared" si="48"/>
        <v>х</v>
      </c>
      <c r="AI54" s="4" t="str">
        <f t="shared" si="48"/>
        <v>х</v>
      </c>
      <c r="AJ54" s="4" t="str">
        <f t="shared" si="48"/>
        <v>х</v>
      </c>
      <c r="AK54" s="7" t="str">
        <f>"1988"</f>
        <v>1988</v>
      </c>
      <c r="AL54" s="4" t="str">
        <f>"35,00"</f>
        <v>35,00</v>
      </c>
      <c r="AM54" s="4" t="str">
        <f>"2033-2035"</f>
        <v>2033-2035</v>
      </c>
      <c r="AN54" s="4" t="str">
        <f t="shared" si="51"/>
        <v>нет</v>
      </c>
      <c r="AO54" s="4" t="str">
        <f>""</f>
        <v/>
      </c>
      <c r="AP54" s="4" t="str">
        <f>""</f>
        <v/>
      </c>
      <c r="AQ54" s="4" t="str">
        <f>""</f>
        <v/>
      </c>
      <c r="AR54" s="4" t="str">
        <f t="shared" si="40"/>
        <v>нет</v>
      </c>
      <c r="AS54" s="4" t="str">
        <f>""</f>
        <v/>
      </c>
      <c r="AT54" s="4" t="str">
        <f>""</f>
        <v/>
      </c>
      <c r="AU54" s="4" t="str">
        <f>""</f>
        <v/>
      </c>
      <c r="AV54" s="4" t="str">
        <f>"1988"</f>
        <v>1988</v>
      </c>
      <c r="AW54" s="4" t="str">
        <f>"35,00"</f>
        <v>35,00</v>
      </c>
      <c r="AX54" s="4" t="str">
        <f>"2033-2035"</f>
        <v>2033-2035</v>
      </c>
      <c r="AY54" s="4" t="str">
        <f t="shared" si="46"/>
        <v>нет</v>
      </c>
      <c r="AZ54" s="4" t="str">
        <f>""</f>
        <v/>
      </c>
      <c r="BA54" s="4" t="str">
        <f>""</f>
        <v/>
      </c>
      <c r="BB54" s="4" t="str">
        <f>""</f>
        <v/>
      </c>
      <c r="BC54" s="4" t="str">
        <f t="shared" si="47"/>
        <v>нет</v>
      </c>
      <c r="BD54" s="4" t="str">
        <f>""</f>
        <v/>
      </c>
      <c r="BE54" s="4" t="str">
        <f>""</f>
        <v/>
      </c>
      <c r="BF54" s="4" t="str">
        <f>""</f>
        <v/>
      </c>
      <c r="BG54" s="4" t="str">
        <f>"1988"</f>
        <v>1988</v>
      </c>
      <c r="BH54" s="4" t="str">
        <f>"35,00"</f>
        <v>35,00</v>
      </c>
      <c r="BI54" s="4" t="str">
        <f>"2033-2035"</f>
        <v>2033-2035</v>
      </c>
      <c r="BJ54" s="4" t="str">
        <f t="shared" si="41"/>
        <v>нет</v>
      </c>
      <c r="BK54" s="4" t="str">
        <f>""</f>
        <v/>
      </c>
      <c r="BL54" s="4" t="str">
        <f>""</f>
        <v/>
      </c>
      <c r="BM54" s="4" t="str">
        <f>""</f>
        <v/>
      </c>
      <c r="BN54" s="4" t="str">
        <f t="shared" si="42"/>
        <v>нет</v>
      </c>
      <c r="BO54" s="4" t="str">
        <f>""</f>
        <v/>
      </c>
      <c r="BP54" s="4" t="str">
        <f>""</f>
        <v/>
      </c>
      <c r="BQ54" s="4" t="str">
        <f>""</f>
        <v/>
      </c>
      <c r="BR54" s="4" t="str">
        <f>"1988"</f>
        <v>1988</v>
      </c>
      <c r="BS54" s="4" t="str">
        <f>"45,00"</f>
        <v>45,00</v>
      </c>
      <c r="BT54" s="4" t="str">
        <f>"2033-2035"</f>
        <v>2033-2035</v>
      </c>
      <c r="BU54" s="4" t="str">
        <f t="shared" si="5"/>
        <v>нет</v>
      </c>
      <c r="BV54" s="4" t="str">
        <f t="shared" ref="BV54:BX73" si="52">"x"</f>
        <v>x</v>
      </c>
      <c r="BW54" s="4" t="str">
        <f t="shared" si="52"/>
        <v>x</v>
      </c>
      <c r="BX54" s="4" t="str">
        <f t="shared" si="52"/>
        <v>x</v>
      </c>
      <c r="BY54" s="4" t="str">
        <f t="shared" si="49"/>
        <v>нет</v>
      </c>
      <c r="BZ54" s="4" t="str">
        <f t="shared" ref="BZ54:CB73" si="53">"x"</f>
        <v>x</v>
      </c>
      <c r="CA54" s="4" t="str">
        <f t="shared" si="53"/>
        <v>x</v>
      </c>
      <c r="CB54" s="4" t="str">
        <f t="shared" si="53"/>
        <v>x</v>
      </c>
      <c r="CC54" s="4" t="str">
        <f>"1988"</f>
        <v>1988</v>
      </c>
      <c r="CD54" s="4" t="str">
        <f>"25,00"</f>
        <v>25,00</v>
      </c>
      <c r="CE54" s="4" t="str">
        <f>"2033-2035"</f>
        <v>2033-2035</v>
      </c>
      <c r="CF54" s="4" t="str">
        <f>"1988"</f>
        <v>1988</v>
      </c>
      <c r="CG54" s="4" t="str">
        <f>"20,00"</f>
        <v>20,00</v>
      </c>
      <c r="CH54" s="4" t="str">
        <f>"2033-2035"</f>
        <v>2033-2035</v>
      </c>
      <c r="CI54" s="4" t="str">
        <f>"24,00"</f>
        <v>24,00</v>
      </c>
      <c r="CJ54" s="4" t="str">
        <f>"2033-2035"</f>
        <v>2033-2035</v>
      </c>
    </row>
    <row r="55" spans="1:88" ht="11.25" customHeight="1">
      <c r="A55" s="45" t="str">
        <f>"24.42"</f>
        <v>24.42</v>
      </c>
      <c r="B55" s="46" t="str">
        <f>"г. Харовск, ул. Ленинградская, д.1"</f>
        <v>г. Харовск, ул. Ленинградская, д.1</v>
      </c>
      <c r="C55" s="6" t="str">
        <f>"1981"</f>
        <v>1981</v>
      </c>
      <c r="D55" s="4" t="str">
        <f>"1981"</f>
        <v>1981</v>
      </c>
      <c r="E55" s="4" t="str">
        <f>"30,00"</f>
        <v>30,00</v>
      </c>
      <c r="F55" s="4" t="str">
        <f>"2028-2030"</f>
        <v>2028-2030</v>
      </c>
      <c r="G55" s="4" t="str">
        <f>"да"</f>
        <v>да</v>
      </c>
      <c r="H55" s="4" t="str">
        <f>"2010"</f>
        <v>2010</v>
      </c>
      <c r="I55" s="4" t="str">
        <f>"75,00"</f>
        <v>75,00</v>
      </c>
      <c r="J55" s="4" t="str">
        <f>"2028-2030"</f>
        <v>2028-2030</v>
      </c>
      <c r="K55" s="4" t="str">
        <f t="shared" si="1"/>
        <v>нет</v>
      </c>
      <c r="L55" s="4" t="str">
        <f>""</f>
        <v/>
      </c>
      <c r="M55" s="4" t="str">
        <f>""</f>
        <v/>
      </c>
      <c r="N55" s="4" t="str">
        <f>""</f>
        <v/>
      </c>
      <c r="O55" s="7" t="str">
        <f>"1981"</f>
        <v>1981</v>
      </c>
      <c r="P55" s="4" t="str">
        <f>"30,00"</f>
        <v>30,00</v>
      </c>
      <c r="Q55" s="4" t="str">
        <f>"2028-2030"</f>
        <v>2028-2030</v>
      </c>
      <c r="R55" s="4" t="str">
        <f>"нет"</f>
        <v>нет</v>
      </c>
      <c r="S55" s="4" t="str">
        <f>""</f>
        <v/>
      </c>
      <c r="T55" s="4" t="str">
        <f>""</f>
        <v/>
      </c>
      <c r="U55" s="4" t="str">
        <f>""</f>
        <v/>
      </c>
      <c r="V55" s="4" t="str">
        <f t="shared" si="39"/>
        <v>нет</v>
      </c>
      <c r="W55" s="4" t="str">
        <f>""</f>
        <v/>
      </c>
      <c r="X55" s="4" t="str">
        <f>""</f>
        <v/>
      </c>
      <c r="Y55" s="8" t="str">
        <f>""</f>
        <v/>
      </c>
      <c r="Z55" s="4" t="str">
        <f t="shared" si="48"/>
        <v>х</v>
      </c>
      <c r="AA55" s="4" t="str">
        <f t="shared" si="48"/>
        <v>х</v>
      </c>
      <c r="AB55" s="4" t="str">
        <f t="shared" si="48"/>
        <v>х</v>
      </c>
      <c r="AC55" s="4" t="str">
        <f t="shared" si="48"/>
        <v>х</v>
      </c>
      <c r="AD55" s="4" t="str">
        <f t="shared" si="48"/>
        <v>х</v>
      </c>
      <c r="AE55" s="4" t="str">
        <f t="shared" si="48"/>
        <v>х</v>
      </c>
      <c r="AF55" s="4" t="str">
        <f t="shared" si="48"/>
        <v>х</v>
      </c>
      <c r="AG55" s="4" t="str">
        <f t="shared" si="48"/>
        <v>х</v>
      </c>
      <c r="AH55" s="4" t="str">
        <f t="shared" si="48"/>
        <v>х</v>
      </c>
      <c r="AI55" s="4" t="str">
        <f t="shared" si="48"/>
        <v>х</v>
      </c>
      <c r="AJ55" s="4" t="str">
        <f t="shared" si="48"/>
        <v>х</v>
      </c>
      <c r="AK55" s="7" t="str">
        <f>"1981"</f>
        <v>1981</v>
      </c>
      <c r="AL55" s="4" t="str">
        <f>"30,00"</f>
        <v>30,00</v>
      </c>
      <c r="AM55" s="4" t="str">
        <f>"2028-2030"</f>
        <v>2028-2030</v>
      </c>
      <c r="AN55" s="4" t="str">
        <f>"да"</f>
        <v>да</v>
      </c>
      <c r="AO55" s="4" t="str">
        <f>"2013"</f>
        <v>2013</v>
      </c>
      <c r="AP55" s="4" t="str">
        <f>"0,00"</f>
        <v>0,00</v>
      </c>
      <c r="AQ55" s="4" t="str">
        <f>"2028-2030"</f>
        <v>2028-2030</v>
      </c>
      <c r="AR55" s="4" t="str">
        <f t="shared" si="40"/>
        <v>нет</v>
      </c>
      <c r="AS55" s="4" t="str">
        <f>""</f>
        <v/>
      </c>
      <c r="AT55" s="4" t="str">
        <f>""</f>
        <v/>
      </c>
      <c r="AU55" s="4" t="str">
        <f>""</f>
        <v/>
      </c>
      <c r="AV55" s="4" t="str">
        <f>"1981"</f>
        <v>1981</v>
      </c>
      <c r="AW55" s="4" t="str">
        <f>"30,00"</f>
        <v>30,00</v>
      </c>
      <c r="AX55" s="4" t="str">
        <f>"2028-2030"</f>
        <v>2028-2030</v>
      </c>
      <c r="AY55" s="4" t="str">
        <f t="shared" si="46"/>
        <v>нет</v>
      </c>
      <c r="AZ55" s="4" t="str">
        <f>""</f>
        <v/>
      </c>
      <c r="BA55" s="4" t="str">
        <f>""</f>
        <v/>
      </c>
      <c r="BB55" s="4" t="str">
        <f>""</f>
        <v/>
      </c>
      <c r="BC55" s="4" t="str">
        <f t="shared" si="47"/>
        <v>нет</v>
      </c>
      <c r="BD55" s="4" t="str">
        <f>""</f>
        <v/>
      </c>
      <c r="BE55" s="4" t="str">
        <f>""</f>
        <v/>
      </c>
      <c r="BF55" s="4" t="str">
        <f>""</f>
        <v/>
      </c>
      <c r="BG55" s="4" t="str">
        <f>"1981"</f>
        <v>1981</v>
      </c>
      <c r="BH55" s="4" t="str">
        <f>"30,00"</f>
        <v>30,00</v>
      </c>
      <c r="BI55" s="4" t="str">
        <f>"2028-2030"</f>
        <v>2028-2030</v>
      </c>
      <c r="BJ55" s="4" t="str">
        <f t="shared" si="41"/>
        <v>нет</v>
      </c>
      <c r="BK55" s="4" t="str">
        <f>""</f>
        <v/>
      </c>
      <c r="BL55" s="4" t="str">
        <f>""</f>
        <v/>
      </c>
      <c r="BM55" s="4" t="str">
        <f>""</f>
        <v/>
      </c>
      <c r="BN55" s="4" t="str">
        <f t="shared" si="42"/>
        <v>нет</v>
      </c>
      <c r="BO55" s="4" t="str">
        <f>""</f>
        <v/>
      </c>
      <c r="BP55" s="4" t="str">
        <f>""</f>
        <v/>
      </c>
      <c r="BQ55" s="4" t="str">
        <f>""</f>
        <v/>
      </c>
      <c r="BR55" s="4" t="str">
        <f>"1981"</f>
        <v>1981</v>
      </c>
      <c r="BS55" s="4" t="str">
        <f>"5,00"</f>
        <v>5,00</v>
      </c>
      <c r="BT55" s="4" t="str">
        <f>"2028-2030"</f>
        <v>2028-2030</v>
      </c>
      <c r="BU55" s="4" t="str">
        <f t="shared" si="5"/>
        <v>нет</v>
      </c>
      <c r="BV55" s="4" t="str">
        <f t="shared" si="52"/>
        <v>x</v>
      </c>
      <c r="BW55" s="4" t="str">
        <f t="shared" si="52"/>
        <v>x</v>
      </c>
      <c r="BX55" s="4" t="str">
        <f t="shared" si="52"/>
        <v>x</v>
      </c>
      <c r="BY55" s="4" t="str">
        <f t="shared" si="49"/>
        <v>нет</v>
      </c>
      <c r="BZ55" s="4" t="str">
        <f t="shared" si="53"/>
        <v>x</v>
      </c>
      <c r="CA55" s="4" t="str">
        <f t="shared" si="53"/>
        <v>x</v>
      </c>
      <c r="CB55" s="4" t="str">
        <f t="shared" si="53"/>
        <v>x</v>
      </c>
      <c r="CC55" s="4" t="str">
        <f>"1981"</f>
        <v>1981</v>
      </c>
      <c r="CD55" s="4" t="str">
        <f>"25,00"</f>
        <v>25,00</v>
      </c>
      <c r="CE55" s="4" t="str">
        <f>"2028-2030"</f>
        <v>2028-2030</v>
      </c>
      <c r="CF55" s="4" t="str">
        <f>"1981"</f>
        <v>1981</v>
      </c>
      <c r="CG55" s="4" t="str">
        <f>"20,00"</f>
        <v>20,00</v>
      </c>
      <c r="CH55" s="4" t="str">
        <f>"2028-2030"</f>
        <v>2028-2030</v>
      </c>
      <c r="CI55" s="4" t="str">
        <f>"23,00"</f>
        <v>23,00</v>
      </c>
      <c r="CJ55" s="4" t="str">
        <f>"2028-2030"</f>
        <v>2028-2030</v>
      </c>
    </row>
    <row r="56" spans="1:88" ht="11.25" customHeight="1">
      <c r="A56" s="45" t="str">
        <f>"24.43"</f>
        <v>24.43</v>
      </c>
      <c r="B56" s="46" t="str">
        <f>"г. Харовск, ул. Ленинградская, д.12"</f>
        <v>г. Харовск, ул. Ленинградская, д.12</v>
      </c>
      <c r="C56" s="6" t="str">
        <f>"2010"</f>
        <v>2010</v>
      </c>
      <c r="D56" s="4" t="str">
        <f>"2010"</f>
        <v>2010</v>
      </c>
      <c r="E56" s="4" t="str">
        <f>"0,00"</f>
        <v>0,00</v>
      </c>
      <c r="F56" s="4" t="str">
        <f>"2039-2041"</f>
        <v>2039-2041</v>
      </c>
      <c r="G56" s="4" t="str">
        <f>"да"</f>
        <v>да</v>
      </c>
      <c r="H56" s="4" t="str">
        <f>"2012"</f>
        <v>2012</v>
      </c>
      <c r="I56" s="4" t="str">
        <f>"12,00"</f>
        <v>12,00</v>
      </c>
      <c r="J56" s="4" t="str">
        <f>"2039-2041"</f>
        <v>2039-2041</v>
      </c>
      <c r="K56" s="4" t="str">
        <f t="shared" si="1"/>
        <v>нет</v>
      </c>
      <c r="L56" s="4" t="str">
        <f>""</f>
        <v/>
      </c>
      <c r="M56" s="4" t="str">
        <f>""</f>
        <v/>
      </c>
      <c r="N56" s="4" t="str">
        <f>""</f>
        <v/>
      </c>
      <c r="O56" s="7" t="str">
        <f>"2010"</f>
        <v>2010</v>
      </c>
      <c r="P56" s="4" t="str">
        <f>"0,00"</f>
        <v>0,00</v>
      </c>
      <c r="Q56" s="4" t="str">
        <f>"2039-2041"</f>
        <v>2039-2041</v>
      </c>
      <c r="R56" s="4" t="str">
        <f>"да"</f>
        <v>да</v>
      </c>
      <c r="S56" s="4" t="str">
        <f>"2010"</f>
        <v>2010</v>
      </c>
      <c r="T56" s="4" t="str">
        <f>"75,00"</f>
        <v>75,00</v>
      </c>
      <c r="U56" s="4" t="str">
        <f>"2039-2041"</f>
        <v>2039-2041</v>
      </c>
      <c r="V56" s="4" t="str">
        <f t="shared" si="39"/>
        <v>нет</v>
      </c>
      <c r="W56" s="4" t="str">
        <f>""</f>
        <v/>
      </c>
      <c r="X56" s="4" t="str">
        <f>""</f>
        <v/>
      </c>
      <c r="Y56" s="8" t="str">
        <f>""</f>
        <v/>
      </c>
      <c r="Z56" s="4" t="str">
        <f t="shared" si="48"/>
        <v>х</v>
      </c>
      <c r="AA56" s="4" t="str">
        <f t="shared" si="48"/>
        <v>х</v>
      </c>
      <c r="AB56" s="4" t="str">
        <f t="shared" si="48"/>
        <v>х</v>
      </c>
      <c r="AC56" s="4" t="str">
        <f t="shared" si="48"/>
        <v>х</v>
      </c>
      <c r="AD56" s="4" t="str">
        <f t="shared" si="48"/>
        <v>х</v>
      </c>
      <c r="AE56" s="4" t="str">
        <f t="shared" si="48"/>
        <v>х</v>
      </c>
      <c r="AF56" s="4" t="str">
        <f t="shared" si="48"/>
        <v>х</v>
      </c>
      <c r="AG56" s="4" t="str">
        <f t="shared" si="48"/>
        <v>х</v>
      </c>
      <c r="AH56" s="4" t="str">
        <f t="shared" si="48"/>
        <v>х</v>
      </c>
      <c r="AI56" s="4" t="str">
        <f t="shared" si="48"/>
        <v>х</v>
      </c>
      <c r="AJ56" s="4" t="str">
        <f t="shared" si="48"/>
        <v>х</v>
      </c>
      <c r="AK56" s="7" t="str">
        <f>"2010"</f>
        <v>2010</v>
      </c>
      <c r="AL56" s="4" t="str">
        <f>"0,00"</f>
        <v>0,00</v>
      </c>
      <c r="AM56" s="4" t="str">
        <f>"2039-2041"</f>
        <v>2039-2041</v>
      </c>
      <c r="AN56" s="4" t="str">
        <f>"нет"</f>
        <v>нет</v>
      </c>
      <c r="AO56" s="4" t="str">
        <f>""</f>
        <v/>
      </c>
      <c r="AP56" s="4" t="str">
        <f>""</f>
        <v/>
      </c>
      <c r="AQ56" s="4" t="str">
        <f>""</f>
        <v/>
      </c>
      <c r="AR56" s="4" t="str">
        <f t="shared" si="40"/>
        <v>нет</v>
      </c>
      <c r="AS56" s="4" t="str">
        <f>""</f>
        <v/>
      </c>
      <c r="AT56" s="4" t="str">
        <f>""</f>
        <v/>
      </c>
      <c r="AU56" s="4" t="str">
        <f>""</f>
        <v/>
      </c>
      <c r="AV56" s="4" t="str">
        <f>"2010"</f>
        <v>2010</v>
      </c>
      <c r="AW56" s="4" t="str">
        <f>"0,00"</f>
        <v>0,00</v>
      </c>
      <c r="AX56" s="4" t="str">
        <f>"2039-2041"</f>
        <v>2039-2041</v>
      </c>
      <c r="AY56" s="4" t="str">
        <f>"да"</f>
        <v>да</v>
      </c>
      <c r="AZ56" s="4" t="str">
        <f>"2010"</f>
        <v>2010</v>
      </c>
      <c r="BA56" s="4" t="str">
        <f>"75,00"</f>
        <v>75,00</v>
      </c>
      <c r="BB56" s="4" t="str">
        <f>"2039-2041"</f>
        <v>2039-2041</v>
      </c>
      <c r="BC56" s="4" t="str">
        <f t="shared" si="47"/>
        <v>нет</v>
      </c>
      <c r="BD56" s="4" t="str">
        <f>""</f>
        <v/>
      </c>
      <c r="BE56" s="4" t="str">
        <f>""</f>
        <v/>
      </c>
      <c r="BF56" s="4" t="str">
        <f>""</f>
        <v/>
      </c>
      <c r="BG56" s="4" t="str">
        <f>"2010"</f>
        <v>2010</v>
      </c>
      <c r="BH56" s="4" t="str">
        <f>"0,00"</f>
        <v>0,00</v>
      </c>
      <c r="BI56" s="4" t="str">
        <f>"2039-2041"</f>
        <v>2039-2041</v>
      </c>
      <c r="BJ56" s="4" t="str">
        <f t="shared" si="41"/>
        <v>нет</v>
      </c>
      <c r="BK56" s="4" t="str">
        <f>""</f>
        <v/>
      </c>
      <c r="BL56" s="4" t="str">
        <f>""</f>
        <v/>
      </c>
      <c r="BM56" s="4" t="str">
        <f>""</f>
        <v/>
      </c>
      <c r="BN56" s="4" t="str">
        <f t="shared" si="42"/>
        <v>нет</v>
      </c>
      <c r="BO56" s="4" t="str">
        <f>""</f>
        <v/>
      </c>
      <c r="BP56" s="4" t="str">
        <f>""</f>
        <v/>
      </c>
      <c r="BQ56" s="4" t="str">
        <f>""</f>
        <v/>
      </c>
      <c r="BR56" s="4" t="str">
        <f>"2010"</f>
        <v>2010</v>
      </c>
      <c r="BS56" s="4" t="str">
        <f>"0,00"</f>
        <v>0,00</v>
      </c>
      <c r="BT56" s="4" t="str">
        <f>"2039-2041"</f>
        <v>2039-2041</v>
      </c>
      <c r="BU56" s="4" t="str">
        <f t="shared" si="5"/>
        <v>нет</v>
      </c>
      <c r="BV56" s="4" t="str">
        <f t="shared" si="52"/>
        <v>x</v>
      </c>
      <c r="BW56" s="4" t="str">
        <f t="shared" si="52"/>
        <v>x</v>
      </c>
      <c r="BX56" s="4" t="str">
        <f t="shared" si="52"/>
        <v>x</v>
      </c>
      <c r="BY56" s="4" t="str">
        <f t="shared" si="49"/>
        <v>нет</v>
      </c>
      <c r="BZ56" s="4" t="str">
        <f t="shared" si="53"/>
        <v>x</v>
      </c>
      <c r="CA56" s="4" t="str">
        <f t="shared" si="53"/>
        <v>x</v>
      </c>
      <c r="CB56" s="4" t="str">
        <f t="shared" si="53"/>
        <v>x</v>
      </c>
      <c r="CC56" s="4" t="str">
        <f>"2010"</f>
        <v>2010</v>
      </c>
      <c r="CD56" s="4" t="str">
        <f>"0,00"</f>
        <v>0,00</v>
      </c>
      <c r="CE56" s="4" t="str">
        <f>"2039-2041"</f>
        <v>2039-2041</v>
      </c>
      <c r="CF56" s="4" t="str">
        <f>"2010"</f>
        <v>2010</v>
      </c>
      <c r="CG56" s="4" t="str">
        <f>"0,00"</f>
        <v>0,00</v>
      </c>
      <c r="CH56" s="4" t="str">
        <f>"2039-2041"</f>
        <v>2039-2041</v>
      </c>
      <c r="CI56" s="4" t="str">
        <f>"0,00"</f>
        <v>0,00</v>
      </c>
      <c r="CJ56" s="4" t="str">
        <f>"2039-2041"</f>
        <v>2039-2041</v>
      </c>
    </row>
    <row r="57" spans="1:88" ht="11.25" customHeight="1">
      <c r="A57" s="45" t="str">
        <f>"24.44"</f>
        <v>24.44</v>
      </c>
      <c r="B57" s="46" t="str">
        <f>"г. Харовск, ул. Ленинградская, д.14"</f>
        <v>г. Харовск, ул. Ленинградская, д.14</v>
      </c>
      <c r="C57" s="6" t="str">
        <f>"1994"</f>
        <v>1994</v>
      </c>
      <c r="D57" s="4" t="str">
        <f>"1994"</f>
        <v>1994</v>
      </c>
      <c r="E57" s="4" t="str">
        <f>"30,00"</f>
        <v>30,00</v>
      </c>
      <c r="F57" s="4" t="str">
        <f>"2035-2037"</f>
        <v>2035-2037</v>
      </c>
      <c r="G57" s="4" t="str">
        <f t="shared" ref="G57:G91" si="54">"нет"</f>
        <v>нет</v>
      </c>
      <c r="H57" s="4" t="str">
        <f>""</f>
        <v/>
      </c>
      <c r="I57" s="4" t="str">
        <f>""</f>
        <v/>
      </c>
      <c r="J57" s="4" t="str">
        <f>""</f>
        <v/>
      </c>
      <c r="K57" s="4" t="str">
        <f t="shared" si="1"/>
        <v>нет</v>
      </c>
      <c r="L57" s="4" t="str">
        <f>""</f>
        <v/>
      </c>
      <c r="M57" s="4" t="str">
        <f>""</f>
        <v/>
      </c>
      <c r="N57" s="4" t="str">
        <f>""</f>
        <v/>
      </c>
      <c r="O57" s="7" t="str">
        <f>"1994"</f>
        <v>1994</v>
      </c>
      <c r="P57" s="4" t="str">
        <f>"30,00"</f>
        <v>30,00</v>
      </c>
      <c r="Q57" s="4" t="str">
        <f>"2035-2037"</f>
        <v>2035-2037</v>
      </c>
      <c r="R57" s="4" t="str">
        <f>"да"</f>
        <v>да</v>
      </c>
      <c r="S57" s="4" t="str">
        <f>"2009"</f>
        <v>2009</v>
      </c>
      <c r="T57" s="4" t="str">
        <f>"75,00"</f>
        <v>75,00</v>
      </c>
      <c r="U57" s="4" t="str">
        <f>"2035-2037"</f>
        <v>2035-2037</v>
      </c>
      <c r="V57" s="4" t="str">
        <f t="shared" si="39"/>
        <v>нет</v>
      </c>
      <c r="W57" s="4" t="str">
        <f>""</f>
        <v/>
      </c>
      <c r="X57" s="4" t="str">
        <f>""</f>
        <v/>
      </c>
      <c r="Y57" s="8" t="str">
        <f>""</f>
        <v/>
      </c>
      <c r="Z57" s="4" t="str">
        <f t="shared" si="48"/>
        <v>х</v>
      </c>
      <c r="AA57" s="4" t="str">
        <f t="shared" si="48"/>
        <v>х</v>
      </c>
      <c r="AB57" s="4" t="str">
        <f t="shared" si="48"/>
        <v>х</v>
      </c>
      <c r="AC57" s="4" t="str">
        <f t="shared" si="48"/>
        <v>х</v>
      </c>
      <c r="AD57" s="4" t="str">
        <f t="shared" si="48"/>
        <v>х</v>
      </c>
      <c r="AE57" s="4" t="str">
        <f t="shared" si="48"/>
        <v>х</v>
      </c>
      <c r="AF57" s="4" t="str">
        <f t="shared" si="48"/>
        <v>х</v>
      </c>
      <c r="AG57" s="4" t="str">
        <f t="shared" si="48"/>
        <v>х</v>
      </c>
      <c r="AH57" s="4" t="str">
        <f t="shared" si="48"/>
        <v>х</v>
      </c>
      <c r="AI57" s="4" t="str">
        <f t="shared" si="48"/>
        <v>х</v>
      </c>
      <c r="AJ57" s="4" t="str">
        <f t="shared" si="48"/>
        <v>х</v>
      </c>
      <c r="AK57" s="7" t="str">
        <f>"1994"</f>
        <v>1994</v>
      </c>
      <c r="AL57" s="4" t="str">
        <f>"30,00"</f>
        <v>30,00</v>
      </c>
      <c r="AM57" s="4" t="str">
        <f>"2035-2037"</f>
        <v>2035-2037</v>
      </c>
      <c r="AN57" s="4" t="str">
        <f>"нет"</f>
        <v>нет</v>
      </c>
      <c r="AO57" s="4" t="str">
        <f>""</f>
        <v/>
      </c>
      <c r="AP57" s="4" t="str">
        <f>""</f>
        <v/>
      </c>
      <c r="AQ57" s="4" t="str">
        <f>""</f>
        <v/>
      </c>
      <c r="AR57" s="4" t="str">
        <f t="shared" si="40"/>
        <v>нет</v>
      </c>
      <c r="AS57" s="4" t="str">
        <f>""</f>
        <v/>
      </c>
      <c r="AT57" s="4" t="str">
        <f>""</f>
        <v/>
      </c>
      <c r="AU57" s="4" t="str">
        <f>""</f>
        <v/>
      </c>
      <c r="AV57" s="4" t="str">
        <f>"1994"</f>
        <v>1994</v>
      </c>
      <c r="AW57" s="4" t="str">
        <f>"30,00"</f>
        <v>30,00</v>
      </c>
      <c r="AX57" s="4" t="str">
        <f>"2035-2037"</f>
        <v>2035-2037</v>
      </c>
      <c r="AY57" s="4" t="str">
        <f>"нет"</f>
        <v>нет</v>
      </c>
      <c r="AZ57" s="4" t="str">
        <f>""</f>
        <v/>
      </c>
      <c r="BA57" s="4" t="str">
        <f>""</f>
        <v/>
      </c>
      <c r="BB57" s="4" t="str">
        <f>""</f>
        <v/>
      </c>
      <c r="BC57" s="4" t="str">
        <f t="shared" si="47"/>
        <v>нет</v>
      </c>
      <c r="BD57" s="4" t="str">
        <f>""</f>
        <v/>
      </c>
      <c r="BE57" s="4" t="str">
        <f>""</f>
        <v/>
      </c>
      <c r="BF57" s="4" t="str">
        <f>""</f>
        <v/>
      </c>
      <c r="BG57" s="4" t="str">
        <f>"1994"</f>
        <v>1994</v>
      </c>
      <c r="BH57" s="4" t="str">
        <f>"30,00"</f>
        <v>30,00</v>
      </c>
      <c r="BI57" s="4" t="str">
        <f>"2035-2037"</f>
        <v>2035-2037</v>
      </c>
      <c r="BJ57" s="4" t="str">
        <f t="shared" si="41"/>
        <v>нет</v>
      </c>
      <c r="BK57" s="4" t="str">
        <f>""</f>
        <v/>
      </c>
      <c r="BL57" s="4" t="str">
        <f>""</f>
        <v/>
      </c>
      <c r="BM57" s="4" t="str">
        <f>""</f>
        <v/>
      </c>
      <c r="BN57" s="4" t="str">
        <f t="shared" si="42"/>
        <v>нет</v>
      </c>
      <c r="BO57" s="4" t="str">
        <f>""</f>
        <v/>
      </c>
      <c r="BP57" s="4" t="str">
        <f>""</f>
        <v/>
      </c>
      <c r="BQ57" s="4" t="str">
        <f>""</f>
        <v/>
      </c>
      <c r="BR57" s="4" t="str">
        <f>"1994"</f>
        <v>1994</v>
      </c>
      <c r="BS57" s="4" t="str">
        <f>"25,00"</f>
        <v>25,00</v>
      </c>
      <c r="BT57" s="4" t="str">
        <f>"2035-2037"</f>
        <v>2035-2037</v>
      </c>
      <c r="BU57" s="4" t="str">
        <f t="shared" si="5"/>
        <v>нет</v>
      </c>
      <c r="BV57" s="4" t="str">
        <f t="shared" si="52"/>
        <v>x</v>
      </c>
      <c r="BW57" s="4" t="str">
        <f t="shared" si="52"/>
        <v>x</v>
      </c>
      <c r="BX57" s="4" t="str">
        <f t="shared" si="52"/>
        <v>x</v>
      </c>
      <c r="BY57" s="4" t="str">
        <f t="shared" si="49"/>
        <v>нет</v>
      </c>
      <c r="BZ57" s="4" t="str">
        <f t="shared" si="53"/>
        <v>x</v>
      </c>
      <c r="CA57" s="4" t="str">
        <f t="shared" si="53"/>
        <v>x</v>
      </c>
      <c r="CB57" s="4" t="str">
        <f t="shared" si="53"/>
        <v>x</v>
      </c>
      <c r="CC57" s="4" t="str">
        <f>"1994"</f>
        <v>1994</v>
      </c>
      <c r="CD57" s="4" t="str">
        <f>"15,00"</f>
        <v>15,00</v>
      </c>
      <c r="CE57" s="4" t="str">
        <f>"2035-2037"</f>
        <v>2035-2037</v>
      </c>
      <c r="CF57" s="4" t="str">
        <f>"1994"</f>
        <v>1994</v>
      </c>
      <c r="CG57" s="4" t="str">
        <f>"10,00"</f>
        <v>10,00</v>
      </c>
      <c r="CH57" s="4" t="str">
        <f>"2035-2037"</f>
        <v>2035-2037</v>
      </c>
      <c r="CI57" s="4" t="str">
        <f>"9,00"</f>
        <v>9,00</v>
      </c>
      <c r="CJ57" s="4" t="str">
        <f>"2035-2037"</f>
        <v>2035-2037</v>
      </c>
    </row>
    <row r="58" spans="1:88" ht="11.25" customHeight="1">
      <c r="A58" s="45" t="str">
        <f>"24.45"</f>
        <v>24.45</v>
      </c>
      <c r="B58" s="46" t="str">
        <f>"г. Харовск, ул. Ленинградская, д.21"</f>
        <v>г. Харовск, ул. Ленинградская, д.21</v>
      </c>
      <c r="C58" s="6" t="str">
        <f>"1986"</f>
        <v>1986</v>
      </c>
      <c r="D58" s="4" t="str">
        <f>"1986"</f>
        <v>1986</v>
      </c>
      <c r="E58" s="4" t="str">
        <f>"50,00"</f>
        <v>50,00</v>
      </c>
      <c r="F58" s="4" t="str">
        <f>"2031-2033"</f>
        <v>2031-2033</v>
      </c>
      <c r="G58" s="4" t="str">
        <f t="shared" si="54"/>
        <v>нет</v>
      </c>
      <c r="H58" s="4" t="str">
        <f>""</f>
        <v/>
      </c>
      <c r="I58" s="4" t="str">
        <f>""</f>
        <v/>
      </c>
      <c r="J58" s="4" t="str">
        <f>""</f>
        <v/>
      </c>
      <c r="K58" s="4" t="str">
        <f t="shared" si="1"/>
        <v>нет</v>
      </c>
      <c r="L58" s="4" t="str">
        <f>""</f>
        <v/>
      </c>
      <c r="M58" s="4" t="str">
        <f>""</f>
        <v/>
      </c>
      <c r="N58" s="4" t="str">
        <f>""</f>
        <v/>
      </c>
      <c r="O58" s="7" t="str">
        <f>"1986"</f>
        <v>1986</v>
      </c>
      <c r="P58" s="4" t="str">
        <f>"20,00"</f>
        <v>20,00</v>
      </c>
      <c r="Q58" s="4" t="str">
        <f>"2031-2033"</f>
        <v>2031-2033</v>
      </c>
      <c r="R58" s="4" t="str">
        <f>"да"</f>
        <v>да</v>
      </c>
      <c r="S58" s="4" t="str">
        <f>"2009"</f>
        <v>2009</v>
      </c>
      <c r="T58" s="4" t="str">
        <f>"75,00"</f>
        <v>75,00</v>
      </c>
      <c r="U58" s="4" t="str">
        <f>"2031-2033"</f>
        <v>2031-2033</v>
      </c>
      <c r="V58" s="4" t="str">
        <f t="shared" si="39"/>
        <v>нет</v>
      </c>
      <c r="W58" s="4" t="str">
        <f>""</f>
        <v/>
      </c>
      <c r="X58" s="4" t="str">
        <f>""</f>
        <v/>
      </c>
      <c r="Y58" s="8" t="str">
        <f>""</f>
        <v/>
      </c>
      <c r="Z58" s="4" t="str">
        <f>"1986"</f>
        <v>1986</v>
      </c>
      <c r="AA58" s="4" t="str">
        <f>"20,00"</f>
        <v>20,00</v>
      </c>
      <c r="AB58" s="4" t="str">
        <f>"2031-2033"</f>
        <v>2031-2033</v>
      </c>
      <c r="AC58" s="4" t="str">
        <f>"нет"</f>
        <v>нет</v>
      </c>
      <c r="AD58" s="4" t="str">
        <f>""</f>
        <v/>
      </c>
      <c r="AE58" s="4" t="str">
        <f>""</f>
        <v/>
      </c>
      <c r="AF58" s="4" t="str">
        <f>""</f>
        <v/>
      </c>
      <c r="AG58" s="4" t="str">
        <f>"нет"</f>
        <v>нет</v>
      </c>
      <c r="AH58" s="4" t="str">
        <f>""</f>
        <v/>
      </c>
      <c r="AI58" s="4" t="str">
        <f>""</f>
        <v/>
      </c>
      <c r="AJ58" s="4" t="str">
        <f>""</f>
        <v/>
      </c>
      <c r="AK58" s="7" t="str">
        <f>"1986"</f>
        <v>1986</v>
      </c>
      <c r="AL58" s="4" t="str">
        <f>"20,00"</f>
        <v>20,00</v>
      </c>
      <c r="AM58" s="4" t="str">
        <f>"2031-2033"</f>
        <v>2031-2033</v>
      </c>
      <c r="AN58" s="4" t="str">
        <f>"да"</f>
        <v>да</v>
      </c>
      <c r="AO58" s="4" t="str">
        <f>"2013"</f>
        <v>2013</v>
      </c>
      <c r="AP58" s="4" t="str">
        <f>"0,00"</f>
        <v>0,00</v>
      </c>
      <c r="AQ58" s="4" t="str">
        <f>"2031-2033"</f>
        <v>2031-2033</v>
      </c>
      <c r="AR58" s="4" t="str">
        <f t="shared" si="40"/>
        <v>нет</v>
      </c>
      <c r="AS58" s="4" t="str">
        <f>""</f>
        <v/>
      </c>
      <c r="AT58" s="4" t="str">
        <f>""</f>
        <v/>
      </c>
      <c r="AU58" s="4" t="str">
        <f>""</f>
        <v/>
      </c>
      <c r="AV58" s="4" t="str">
        <f>"1986"</f>
        <v>1986</v>
      </c>
      <c r="AW58" s="4" t="str">
        <f>"20,00"</f>
        <v>20,00</v>
      </c>
      <c r="AX58" s="4" t="str">
        <f>"2031-2033"</f>
        <v>2031-2033</v>
      </c>
      <c r="AY58" s="4" t="str">
        <f>"нет"</f>
        <v>нет</v>
      </c>
      <c r="AZ58" s="4" t="str">
        <f>""</f>
        <v/>
      </c>
      <c r="BA58" s="4" t="str">
        <f>""</f>
        <v/>
      </c>
      <c r="BB58" s="4" t="str">
        <f>""</f>
        <v/>
      </c>
      <c r="BC58" s="4" t="str">
        <f t="shared" si="47"/>
        <v>нет</v>
      </c>
      <c r="BD58" s="4" t="str">
        <f>""</f>
        <v/>
      </c>
      <c r="BE58" s="4" t="str">
        <f>""</f>
        <v/>
      </c>
      <c r="BF58" s="4" t="str">
        <f>""</f>
        <v/>
      </c>
      <c r="BG58" s="4" t="str">
        <f>"1986"</f>
        <v>1986</v>
      </c>
      <c r="BH58" s="4" t="str">
        <f>"20,00"</f>
        <v>20,00</v>
      </c>
      <c r="BI58" s="4" t="str">
        <f>"2031-2033"</f>
        <v>2031-2033</v>
      </c>
      <c r="BJ58" s="4" t="str">
        <f t="shared" si="41"/>
        <v>нет</v>
      </c>
      <c r="BK58" s="4" t="str">
        <f>""</f>
        <v/>
      </c>
      <c r="BL58" s="4" t="str">
        <f>""</f>
        <v/>
      </c>
      <c r="BM58" s="4" t="str">
        <f>""</f>
        <v/>
      </c>
      <c r="BN58" s="4" t="str">
        <f t="shared" si="42"/>
        <v>нет</v>
      </c>
      <c r="BO58" s="4" t="str">
        <f>""</f>
        <v/>
      </c>
      <c r="BP58" s="4" t="str">
        <f>""</f>
        <v/>
      </c>
      <c r="BQ58" s="4" t="str">
        <f>""</f>
        <v/>
      </c>
      <c r="BR58" s="4" t="str">
        <f>"1986"</f>
        <v>1986</v>
      </c>
      <c r="BS58" s="4" t="str">
        <f>"30,00"</f>
        <v>30,00</v>
      </c>
      <c r="BT58" s="4" t="str">
        <f>"2031-2033"</f>
        <v>2031-2033</v>
      </c>
      <c r="BU58" s="4" t="str">
        <f t="shared" si="5"/>
        <v>нет</v>
      </c>
      <c r="BV58" s="4" t="str">
        <f t="shared" si="52"/>
        <v>x</v>
      </c>
      <c r="BW58" s="4" t="str">
        <f t="shared" si="52"/>
        <v>x</v>
      </c>
      <c r="BX58" s="4" t="str">
        <f t="shared" si="52"/>
        <v>x</v>
      </c>
      <c r="BY58" s="4" t="str">
        <f t="shared" si="49"/>
        <v>нет</v>
      </c>
      <c r="BZ58" s="4" t="str">
        <f t="shared" si="53"/>
        <v>x</v>
      </c>
      <c r="CA58" s="4" t="str">
        <f t="shared" si="53"/>
        <v>x</v>
      </c>
      <c r="CB58" s="4" t="str">
        <f t="shared" si="53"/>
        <v>x</v>
      </c>
      <c r="CC58" s="4" t="str">
        <f>"1986"</f>
        <v>1986</v>
      </c>
      <c r="CD58" s="4" t="str">
        <f>"20,00"</f>
        <v>20,00</v>
      </c>
      <c r="CE58" s="4" t="str">
        <f>"2031-2033"</f>
        <v>2031-2033</v>
      </c>
      <c r="CF58" s="4" t="str">
        <f>"1986"</f>
        <v>1986</v>
      </c>
      <c r="CG58" s="4" t="str">
        <f>"20,00"</f>
        <v>20,00</v>
      </c>
      <c r="CH58" s="4" t="str">
        <f>"2031-2033"</f>
        <v>2031-2033</v>
      </c>
      <c r="CI58" s="4" t="str">
        <f>"21,00"</f>
        <v>21,00</v>
      </c>
      <c r="CJ58" s="4" t="str">
        <f>"2031-2033"</f>
        <v>2031-2033</v>
      </c>
    </row>
    <row r="59" spans="1:88" ht="11.25" customHeight="1">
      <c r="A59" s="45" t="str">
        <f>"24.46"</f>
        <v>24.46</v>
      </c>
      <c r="B59" s="46" t="str">
        <f>"г. Харовск, ул. Ленинградская, д.22А"</f>
        <v>г. Харовск, ул. Ленинградская, д.22А</v>
      </c>
      <c r="C59" s="6" t="str">
        <f>"1983"</f>
        <v>1983</v>
      </c>
      <c r="D59" s="4" t="str">
        <f>"1983"</f>
        <v>1983</v>
      </c>
      <c r="E59" s="4" t="str">
        <f>"30,00"</f>
        <v>30,00</v>
      </c>
      <c r="F59" s="4" t="str">
        <f>"2029-2031"</f>
        <v>2029-2031</v>
      </c>
      <c r="G59" s="4" t="str">
        <f t="shared" si="54"/>
        <v>нет</v>
      </c>
      <c r="H59" s="4" t="str">
        <f>""</f>
        <v/>
      </c>
      <c r="I59" s="4" t="str">
        <f>""</f>
        <v/>
      </c>
      <c r="J59" s="4" t="str">
        <f>""</f>
        <v/>
      </c>
      <c r="K59" s="4" t="str">
        <f t="shared" si="1"/>
        <v>нет</v>
      </c>
      <c r="L59" s="4" t="str">
        <f>""</f>
        <v/>
      </c>
      <c r="M59" s="4" t="str">
        <f>""</f>
        <v/>
      </c>
      <c r="N59" s="4" t="str">
        <f>""</f>
        <v/>
      </c>
      <c r="O59" s="7" t="str">
        <f>"1983"</f>
        <v>1983</v>
      </c>
      <c r="P59" s="4" t="str">
        <f>"30,00"</f>
        <v>30,00</v>
      </c>
      <c r="Q59" s="4" t="str">
        <f>"2029-2031"</f>
        <v>2029-2031</v>
      </c>
      <c r="R59" s="4" t="str">
        <f>"да"</f>
        <v>да</v>
      </c>
      <c r="S59" s="4" t="str">
        <f>"2009"</f>
        <v>2009</v>
      </c>
      <c r="T59" s="4" t="str">
        <f>"75,00"</f>
        <v>75,00</v>
      </c>
      <c r="U59" s="4" t="str">
        <f>"2029-2031"</f>
        <v>2029-2031</v>
      </c>
      <c r="V59" s="4" t="str">
        <f t="shared" si="39"/>
        <v>нет</v>
      </c>
      <c r="W59" s="4" t="str">
        <f>""</f>
        <v/>
      </c>
      <c r="X59" s="4" t="str">
        <f>""</f>
        <v/>
      </c>
      <c r="Y59" s="8" t="str">
        <f>""</f>
        <v/>
      </c>
      <c r="Z59" s="4" t="str">
        <f>"1983"</f>
        <v>1983</v>
      </c>
      <c r="AA59" s="4" t="str">
        <f>"30,00"</f>
        <v>30,00</v>
      </c>
      <c r="AB59" s="4" t="str">
        <f>"2029-2031"</f>
        <v>2029-2031</v>
      </c>
      <c r="AC59" s="4" t="str">
        <f>"нет"</f>
        <v>нет</v>
      </c>
      <c r="AD59" s="4" t="str">
        <f>""</f>
        <v/>
      </c>
      <c r="AE59" s="4" t="str">
        <f>""</f>
        <v/>
      </c>
      <c r="AF59" s="4" t="str">
        <f>""</f>
        <v/>
      </c>
      <c r="AG59" s="4" t="str">
        <f>"нет"</f>
        <v>нет</v>
      </c>
      <c r="AH59" s="4" t="str">
        <f>""</f>
        <v/>
      </c>
      <c r="AI59" s="4" t="str">
        <f>""</f>
        <v/>
      </c>
      <c r="AJ59" s="4" t="str">
        <f>""</f>
        <v/>
      </c>
      <c r="AK59" s="7" t="str">
        <f>"1983"</f>
        <v>1983</v>
      </c>
      <c r="AL59" s="4" t="str">
        <f>"30,00"</f>
        <v>30,00</v>
      </c>
      <c r="AM59" s="4" t="str">
        <f>"2029-2031"</f>
        <v>2029-2031</v>
      </c>
      <c r="AN59" s="4" t="str">
        <f>"да"</f>
        <v>да</v>
      </c>
      <c r="AO59" s="4" t="str">
        <f>"2013"</f>
        <v>2013</v>
      </c>
      <c r="AP59" s="4" t="str">
        <f>"0,00"</f>
        <v>0,00</v>
      </c>
      <c r="AQ59" s="4" t="str">
        <f>"2029-2031"</f>
        <v>2029-2031</v>
      </c>
      <c r="AR59" s="4" t="str">
        <f t="shared" si="40"/>
        <v>нет</v>
      </c>
      <c r="AS59" s="4" t="str">
        <f>""</f>
        <v/>
      </c>
      <c r="AT59" s="4" t="str">
        <f>""</f>
        <v/>
      </c>
      <c r="AU59" s="4" t="str">
        <f>""</f>
        <v/>
      </c>
      <c r="AV59" s="4" t="str">
        <f>"1983"</f>
        <v>1983</v>
      </c>
      <c r="AW59" s="4" t="str">
        <f>"30,00"</f>
        <v>30,00</v>
      </c>
      <c r="AX59" s="4" t="str">
        <f>"2029-2031"</f>
        <v>2029-2031</v>
      </c>
      <c r="AY59" s="4" t="str">
        <f>"нет"</f>
        <v>нет</v>
      </c>
      <c r="AZ59" s="4" t="str">
        <f>""</f>
        <v/>
      </c>
      <c r="BA59" s="4" t="str">
        <f>""</f>
        <v/>
      </c>
      <c r="BB59" s="4" t="str">
        <f>""</f>
        <v/>
      </c>
      <c r="BC59" s="4" t="str">
        <f t="shared" si="47"/>
        <v>нет</v>
      </c>
      <c r="BD59" s="4" t="str">
        <f>""</f>
        <v/>
      </c>
      <c r="BE59" s="4" t="str">
        <f>""</f>
        <v/>
      </c>
      <c r="BF59" s="4" t="str">
        <f>""</f>
        <v/>
      </c>
      <c r="BG59" s="4" t="str">
        <f>"1983"</f>
        <v>1983</v>
      </c>
      <c r="BH59" s="4" t="str">
        <f>"30,00"</f>
        <v>30,00</v>
      </c>
      <c r="BI59" s="4" t="str">
        <f>"2029-2031"</f>
        <v>2029-2031</v>
      </c>
      <c r="BJ59" s="4" t="str">
        <f t="shared" si="41"/>
        <v>нет</v>
      </c>
      <c r="BK59" s="4" t="str">
        <f>""</f>
        <v/>
      </c>
      <c r="BL59" s="4" t="str">
        <f>""</f>
        <v/>
      </c>
      <c r="BM59" s="4" t="str">
        <f>""</f>
        <v/>
      </c>
      <c r="BN59" s="4" t="str">
        <f t="shared" si="42"/>
        <v>нет</v>
      </c>
      <c r="BO59" s="4" t="str">
        <f>""</f>
        <v/>
      </c>
      <c r="BP59" s="4" t="str">
        <f>""</f>
        <v/>
      </c>
      <c r="BQ59" s="4" t="str">
        <f>""</f>
        <v/>
      </c>
      <c r="BR59" s="4" t="str">
        <f>"1983"</f>
        <v>1983</v>
      </c>
      <c r="BS59" s="4" t="str">
        <f>"40,00"</f>
        <v>40,00</v>
      </c>
      <c r="BT59" s="4" t="str">
        <f>"2029-2031"</f>
        <v>2029-2031</v>
      </c>
      <c r="BU59" s="4" t="str">
        <f t="shared" si="5"/>
        <v>нет</v>
      </c>
      <c r="BV59" s="4" t="str">
        <f t="shared" si="52"/>
        <v>x</v>
      </c>
      <c r="BW59" s="4" t="str">
        <f t="shared" si="52"/>
        <v>x</v>
      </c>
      <c r="BX59" s="4" t="str">
        <f t="shared" si="52"/>
        <v>x</v>
      </c>
      <c r="BY59" s="4" t="str">
        <f t="shared" si="49"/>
        <v>нет</v>
      </c>
      <c r="BZ59" s="4" t="str">
        <f t="shared" si="53"/>
        <v>x</v>
      </c>
      <c r="CA59" s="4" t="str">
        <f t="shared" si="53"/>
        <v>x</v>
      </c>
      <c r="CB59" s="4" t="str">
        <f t="shared" si="53"/>
        <v>x</v>
      </c>
      <c r="CC59" s="4" t="str">
        <f>"1983"</f>
        <v>1983</v>
      </c>
      <c r="CD59" s="4" t="str">
        <f>"20,00"</f>
        <v>20,00</v>
      </c>
      <c r="CE59" s="4" t="str">
        <f>"2029-2031"</f>
        <v>2029-2031</v>
      </c>
      <c r="CF59" s="4" t="str">
        <f>"1983"</f>
        <v>1983</v>
      </c>
      <c r="CG59" s="4" t="str">
        <f>"15,00"</f>
        <v>15,00</v>
      </c>
      <c r="CH59" s="4" t="str">
        <f>"2029-2031"</f>
        <v>2029-2031</v>
      </c>
      <c r="CI59" s="4" t="str">
        <f>"20,00"</f>
        <v>20,00</v>
      </c>
      <c r="CJ59" s="4" t="str">
        <f>"2029-2031"</f>
        <v>2029-2031</v>
      </c>
    </row>
    <row r="60" spans="1:88" ht="11.25" customHeight="1">
      <c r="A60" s="45" t="str">
        <f>"24.47"</f>
        <v>24.47</v>
      </c>
      <c r="B60" s="46" t="str">
        <f>"г. Харовск, ул. Ленинградская, д.3"</f>
        <v>г. Харовск, ул. Ленинградская, д.3</v>
      </c>
      <c r="C60" s="6" t="str">
        <f>"1965"</f>
        <v>1965</v>
      </c>
      <c r="D60" s="4" t="str">
        <f>"1965"</f>
        <v>1965</v>
      </c>
      <c r="E60" s="4" t="str">
        <f>"35,00"</f>
        <v>35,00</v>
      </c>
      <c r="F60" s="4" t="str">
        <f>"2022-2024"</f>
        <v>2022-2024</v>
      </c>
      <c r="G60" s="4" t="str">
        <f t="shared" si="54"/>
        <v>нет</v>
      </c>
      <c r="H60" s="4" t="str">
        <f>""</f>
        <v/>
      </c>
      <c r="I60" s="4" t="str">
        <f>""</f>
        <v/>
      </c>
      <c r="J60" s="4" t="str">
        <f>""</f>
        <v/>
      </c>
      <c r="K60" s="4" t="str">
        <f t="shared" si="1"/>
        <v>нет</v>
      </c>
      <c r="L60" s="4" t="str">
        <f>""</f>
        <v/>
      </c>
      <c r="M60" s="4" t="str">
        <f>""</f>
        <v/>
      </c>
      <c r="N60" s="4" t="str">
        <f>""</f>
        <v/>
      </c>
      <c r="O60" s="7" t="str">
        <f>"1965"</f>
        <v>1965</v>
      </c>
      <c r="P60" s="4" t="str">
        <f>"35,00"</f>
        <v>35,00</v>
      </c>
      <c r="Q60" s="4" t="str">
        <f>"2022-2024"</f>
        <v>2022-2024</v>
      </c>
      <c r="R60" s="4" t="str">
        <f>"нет"</f>
        <v>нет</v>
      </c>
      <c r="S60" s="4" t="str">
        <f>""</f>
        <v/>
      </c>
      <c r="T60" s="4" t="str">
        <f>""</f>
        <v/>
      </c>
      <c r="U60" s="4" t="str">
        <f>""</f>
        <v/>
      </c>
      <c r="V60" s="4" t="str">
        <f t="shared" si="39"/>
        <v>нет</v>
      </c>
      <c r="W60" s="4" t="str">
        <f>""</f>
        <v/>
      </c>
      <c r="X60" s="4" t="str">
        <f>""</f>
        <v/>
      </c>
      <c r="Y60" s="8" t="str">
        <f>""</f>
        <v/>
      </c>
      <c r="Z60" s="4" t="str">
        <f t="shared" ref="Z60:AJ64" si="55">"х"</f>
        <v>х</v>
      </c>
      <c r="AA60" s="4" t="str">
        <f t="shared" si="55"/>
        <v>х</v>
      </c>
      <c r="AB60" s="4" t="str">
        <f t="shared" si="55"/>
        <v>х</v>
      </c>
      <c r="AC60" s="4" t="str">
        <f t="shared" si="55"/>
        <v>х</v>
      </c>
      <c r="AD60" s="4" t="str">
        <f t="shared" si="55"/>
        <v>х</v>
      </c>
      <c r="AE60" s="4" t="str">
        <f t="shared" si="55"/>
        <v>х</v>
      </c>
      <c r="AF60" s="4" t="str">
        <f t="shared" si="55"/>
        <v>х</v>
      </c>
      <c r="AG60" s="4" t="str">
        <f t="shared" si="55"/>
        <v>х</v>
      </c>
      <c r="AH60" s="4" t="str">
        <f t="shared" si="55"/>
        <v>х</v>
      </c>
      <c r="AI60" s="4" t="str">
        <f t="shared" si="55"/>
        <v>х</v>
      </c>
      <c r="AJ60" s="4" t="str">
        <f t="shared" si="55"/>
        <v>х</v>
      </c>
      <c r="AK60" s="7" t="str">
        <f>"1965"</f>
        <v>1965</v>
      </c>
      <c r="AL60" s="4" t="str">
        <f>"35,00"</f>
        <v>35,00</v>
      </c>
      <c r="AM60" s="4" t="str">
        <f>"2022-2024"</f>
        <v>2022-2024</v>
      </c>
      <c r="AN60" s="4" t="str">
        <f>"нет"</f>
        <v>нет</v>
      </c>
      <c r="AO60" s="4" t="str">
        <f>""</f>
        <v/>
      </c>
      <c r="AP60" s="4" t="str">
        <f>""</f>
        <v/>
      </c>
      <c r="AQ60" s="4" t="str">
        <f>""</f>
        <v/>
      </c>
      <c r="AR60" s="4" t="str">
        <f t="shared" si="40"/>
        <v>нет</v>
      </c>
      <c r="AS60" s="4" t="str">
        <f>""</f>
        <v/>
      </c>
      <c r="AT60" s="4" t="str">
        <f>""</f>
        <v/>
      </c>
      <c r="AU60" s="4" t="str">
        <f>""</f>
        <v/>
      </c>
      <c r="AV60" s="4" t="str">
        <f>"1965"</f>
        <v>1965</v>
      </c>
      <c r="AW60" s="4" t="str">
        <f>"35,00"</f>
        <v>35,00</v>
      </c>
      <c r="AX60" s="4" t="str">
        <f>"2022-2024"</f>
        <v>2022-2024</v>
      </c>
      <c r="AY60" s="4" t="str">
        <f>"нет"</f>
        <v>нет</v>
      </c>
      <c r="AZ60" s="4" t="str">
        <f t="shared" ref="AZ60:BB61" si="56">"х"</f>
        <v>х</v>
      </c>
      <c r="BA60" s="4" t="str">
        <f t="shared" si="56"/>
        <v>х</v>
      </c>
      <c r="BB60" s="4" t="str">
        <f t="shared" si="56"/>
        <v>х</v>
      </c>
      <c r="BC60" s="4" t="str">
        <f t="shared" si="47"/>
        <v>нет</v>
      </c>
      <c r="BD60" s="4" t="str">
        <f t="shared" ref="BD60:BF61" si="57">"х"</f>
        <v>х</v>
      </c>
      <c r="BE60" s="4" t="str">
        <f t="shared" si="57"/>
        <v>х</v>
      </c>
      <c r="BF60" s="4" t="str">
        <f t="shared" si="57"/>
        <v>х</v>
      </c>
      <c r="BG60" s="4" t="str">
        <f>"1965"</f>
        <v>1965</v>
      </c>
      <c r="BH60" s="4" t="str">
        <f>"35,00"</f>
        <v>35,00</v>
      </c>
      <c r="BI60" s="4" t="str">
        <f>"2022-2024"</f>
        <v>2022-2024</v>
      </c>
      <c r="BJ60" s="4" t="str">
        <f t="shared" si="41"/>
        <v>нет</v>
      </c>
      <c r="BK60" s="4" t="str">
        <f>""</f>
        <v/>
      </c>
      <c r="BL60" s="4" t="str">
        <f>""</f>
        <v/>
      </c>
      <c r="BM60" s="4" t="str">
        <f>""</f>
        <v/>
      </c>
      <c r="BN60" s="4" t="str">
        <f t="shared" si="42"/>
        <v>нет</v>
      </c>
      <c r="BO60" s="4" t="str">
        <f>""</f>
        <v/>
      </c>
      <c r="BP60" s="4" t="str">
        <f>""</f>
        <v/>
      </c>
      <c r="BQ60" s="4" t="str">
        <f>""</f>
        <v/>
      </c>
      <c r="BR60" s="4" t="str">
        <f>"1965"</f>
        <v>1965</v>
      </c>
      <c r="BS60" s="4" t="str">
        <f>"50,00"</f>
        <v>50,00</v>
      </c>
      <c r="BT60" s="4" t="str">
        <f>"2022-2024"</f>
        <v>2022-2024</v>
      </c>
      <c r="BU60" s="4" t="str">
        <f t="shared" si="5"/>
        <v>нет</v>
      </c>
      <c r="BV60" s="4" t="str">
        <f t="shared" si="52"/>
        <v>x</v>
      </c>
      <c r="BW60" s="4" t="str">
        <f t="shared" si="52"/>
        <v>x</v>
      </c>
      <c r="BX60" s="4" t="str">
        <f t="shared" si="52"/>
        <v>x</v>
      </c>
      <c r="BY60" s="4" t="str">
        <f t="shared" si="49"/>
        <v>нет</v>
      </c>
      <c r="BZ60" s="4" t="str">
        <f t="shared" si="53"/>
        <v>x</v>
      </c>
      <c r="CA60" s="4" t="str">
        <f t="shared" si="53"/>
        <v>x</v>
      </c>
      <c r="CB60" s="4" t="str">
        <f t="shared" si="53"/>
        <v>x</v>
      </c>
      <c r="CC60" s="4" t="str">
        <f>"1965"</f>
        <v>1965</v>
      </c>
      <c r="CD60" s="4" t="str">
        <f>"40,00"</f>
        <v>40,00</v>
      </c>
      <c r="CE60" s="4" t="str">
        <f>"2022-2024"</f>
        <v>2022-2024</v>
      </c>
      <c r="CF60" s="4" t="str">
        <f>"1965"</f>
        <v>1965</v>
      </c>
      <c r="CG60" s="4" t="str">
        <f>"30,00"</f>
        <v>30,00</v>
      </c>
      <c r="CH60" s="4" t="str">
        <f>"2022-2024"</f>
        <v>2022-2024</v>
      </c>
      <c r="CI60" s="4" t="str">
        <f>"39,00"</f>
        <v>39,00</v>
      </c>
      <c r="CJ60" s="4" t="str">
        <f>"2022-2024"</f>
        <v>2022-2024</v>
      </c>
    </row>
    <row r="61" spans="1:88" ht="11.25" customHeight="1">
      <c r="A61" s="45" t="str">
        <f>"24.48"</f>
        <v>24.48</v>
      </c>
      <c r="B61" s="46" t="str">
        <f>"г. Харовск, ул. Ленинградская, д.6"</f>
        <v>г. Харовск, ул. Ленинградская, д.6</v>
      </c>
      <c r="C61" s="6" t="str">
        <f>"1988"</f>
        <v>1988</v>
      </c>
      <c r="D61" s="4" t="str">
        <f>"1988"</f>
        <v>1988</v>
      </c>
      <c r="E61" s="4" t="str">
        <f>"35,00"</f>
        <v>35,00</v>
      </c>
      <c r="F61" s="4" t="str">
        <f>"2033-2035"</f>
        <v>2033-2035</v>
      </c>
      <c r="G61" s="4" t="str">
        <f t="shared" si="54"/>
        <v>нет</v>
      </c>
      <c r="H61" s="4" t="str">
        <f>""</f>
        <v/>
      </c>
      <c r="I61" s="4" t="str">
        <f>""</f>
        <v/>
      </c>
      <c r="J61" s="4" t="str">
        <f>""</f>
        <v/>
      </c>
      <c r="K61" s="4" t="str">
        <f t="shared" si="1"/>
        <v>нет</v>
      </c>
      <c r="L61" s="4" t="str">
        <f>""</f>
        <v/>
      </c>
      <c r="M61" s="4" t="str">
        <f>""</f>
        <v/>
      </c>
      <c r="N61" s="4" t="str">
        <f>""</f>
        <v/>
      </c>
      <c r="O61" s="7" t="str">
        <f>"1988"</f>
        <v>1988</v>
      </c>
      <c r="P61" s="4" t="str">
        <f>"35,00"</f>
        <v>35,00</v>
      </c>
      <c r="Q61" s="4" t="str">
        <f>"2033-2035"</f>
        <v>2033-2035</v>
      </c>
      <c r="R61" s="4" t="str">
        <f>"нет"</f>
        <v>нет</v>
      </c>
      <c r="S61" s="4" t="str">
        <f>""</f>
        <v/>
      </c>
      <c r="T61" s="4" t="str">
        <f>""</f>
        <v/>
      </c>
      <c r="U61" s="4" t="str">
        <f>""</f>
        <v/>
      </c>
      <c r="V61" s="4" t="str">
        <f t="shared" si="39"/>
        <v>нет</v>
      </c>
      <c r="W61" s="4" t="str">
        <f>""</f>
        <v/>
      </c>
      <c r="X61" s="4" t="str">
        <f>""</f>
        <v/>
      </c>
      <c r="Y61" s="8" t="str">
        <f>""</f>
        <v/>
      </c>
      <c r="Z61" s="4" t="str">
        <f t="shared" si="55"/>
        <v>х</v>
      </c>
      <c r="AA61" s="4" t="str">
        <f t="shared" si="55"/>
        <v>х</v>
      </c>
      <c r="AB61" s="4" t="str">
        <f t="shared" si="55"/>
        <v>х</v>
      </c>
      <c r="AC61" s="4" t="str">
        <f t="shared" si="55"/>
        <v>х</v>
      </c>
      <c r="AD61" s="4" t="str">
        <f t="shared" si="55"/>
        <v>х</v>
      </c>
      <c r="AE61" s="4" t="str">
        <f t="shared" si="55"/>
        <v>х</v>
      </c>
      <c r="AF61" s="4" t="str">
        <f t="shared" si="55"/>
        <v>х</v>
      </c>
      <c r="AG61" s="4" t="str">
        <f t="shared" si="55"/>
        <v>х</v>
      </c>
      <c r="AH61" s="4" t="str">
        <f t="shared" si="55"/>
        <v>х</v>
      </c>
      <c r="AI61" s="4" t="str">
        <f t="shared" si="55"/>
        <v>х</v>
      </c>
      <c r="AJ61" s="4" t="str">
        <f t="shared" si="55"/>
        <v>х</v>
      </c>
      <c r="AK61" s="7" t="str">
        <f>"1988"</f>
        <v>1988</v>
      </c>
      <c r="AL61" s="4" t="str">
        <f>"35,00"</f>
        <v>35,00</v>
      </c>
      <c r="AM61" s="4" t="str">
        <f>"2033-2035"</f>
        <v>2033-2035</v>
      </c>
      <c r="AN61" s="4" t="str">
        <f>"нет"</f>
        <v>нет</v>
      </c>
      <c r="AO61" s="4" t="str">
        <f>""</f>
        <v/>
      </c>
      <c r="AP61" s="4" t="str">
        <f>""</f>
        <v/>
      </c>
      <c r="AQ61" s="4" t="str">
        <f>""</f>
        <v/>
      </c>
      <c r="AR61" s="4" t="str">
        <f t="shared" si="40"/>
        <v>нет</v>
      </c>
      <c r="AS61" s="4" t="str">
        <f>""</f>
        <v/>
      </c>
      <c r="AT61" s="4" t="str">
        <f>""</f>
        <v/>
      </c>
      <c r="AU61" s="4" t="str">
        <f>""</f>
        <v/>
      </c>
      <c r="AV61" s="4" t="str">
        <f>"х"</f>
        <v>х</v>
      </c>
      <c r="AW61" s="4" t="str">
        <f>"х"</f>
        <v>х</v>
      </c>
      <c r="AX61" s="4" t="str">
        <f>"х"</f>
        <v>х</v>
      </c>
      <c r="AY61" s="4" t="str">
        <f>"х"</f>
        <v>х</v>
      </c>
      <c r="AZ61" s="4" t="str">
        <f t="shared" si="56"/>
        <v>х</v>
      </c>
      <c r="BA61" s="4" t="str">
        <f t="shared" si="56"/>
        <v>х</v>
      </c>
      <c r="BB61" s="4" t="str">
        <f t="shared" si="56"/>
        <v>х</v>
      </c>
      <c r="BC61" s="4" t="str">
        <f>"х"</f>
        <v>х</v>
      </c>
      <c r="BD61" s="4" t="str">
        <f t="shared" si="57"/>
        <v>х</v>
      </c>
      <c r="BE61" s="4" t="str">
        <f t="shared" si="57"/>
        <v>х</v>
      </c>
      <c r="BF61" s="4" t="str">
        <f t="shared" si="57"/>
        <v>х</v>
      </c>
      <c r="BG61" s="4" t="str">
        <f>"1988"</f>
        <v>1988</v>
      </c>
      <c r="BH61" s="4" t="str">
        <f>"46,00"</f>
        <v>46,00</v>
      </c>
      <c r="BI61" s="4" t="str">
        <f>"2033-2035"</f>
        <v>2033-2035</v>
      </c>
      <c r="BJ61" s="4" t="str">
        <f t="shared" si="41"/>
        <v>нет</v>
      </c>
      <c r="BK61" s="4" t="str">
        <f>""</f>
        <v/>
      </c>
      <c r="BL61" s="4" t="str">
        <f>""</f>
        <v/>
      </c>
      <c r="BM61" s="4" t="str">
        <f>""</f>
        <v/>
      </c>
      <c r="BN61" s="4" t="str">
        <f t="shared" si="42"/>
        <v>нет</v>
      </c>
      <c r="BO61" s="4" t="str">
        <f>""</f>
        <v/>
      </c>
      <c r="BP61" s="4" t="str">
        <f>""</f>
        <v/>
      </c>
      <c r="BQ61" s="4" t="str">
        <f>""</f>
        <v/>
      </c>
      <c r="BR61" s="4" t="str">
        <f>"1988"</f>
        <v>1988</v>
      </c>
      <c r="BS61" s="4" t="str">
        <f>"35,00"</f>
        <v>35,00</v>
      </c>
      <c r="BT61" s="4" t="str">
        <f>"2033-2035"</f>
        <v>2033-2035</v>
      </c>
      <c r="BU61" s="4" t="str">
        <f t="shared" si="5"/>
        <v>нет</v>
      </c>
      <c r="BV61" s="4" t="str">
        <f t="shared" si="52"/>
        <v>x</v>
      </c>
      <c r="BW61" s="4" t="str">
        <f t="shared" si="52"/>
        <v>x</v>
      </c>
      <c r="BX61" s="4" t="str">
        <f t="shared" si="52"/>
        <v>x</v>
      </c>
      <c r="BY61" s="4" t="str">
        <f t="shared" si="49"/>
        <v>нет</v>
      </c>
      <c r="BZ61" s="4" t="str">
        <f t="shared" si="53"/>
        <v>x</v>
      </c>
      <c r="CA61" s="4" t="str">
        <f t="shared" si="53"/>
        <v>x</v>
      </c>
      <c r="CB61" s="4" t="str">
        <f t="shared" si="53"/>
        <v>x</v>
      </c>
      <c r="CC61" s="4" t="str">
        <f>"1988"</f>
        <v>1988</v>
      </c>
      <c r="CD61" s="4" t="str">
        <f>"25,00"</f>
        <v>25,00</v>
      </c>
      <c r="CE61" s="4" t="str">
        <f>"2033-2035"</f>
        <v>2033-2035</v>
      </c>
      <c r="CF61" s="4" t="str">
        <f>"1988"</f>
        <v>1988</v>
      </c>
      <c r="CG61" s="4" t="str">
        <f>"20,00"</f>
        <v>20,00</v>
      </c>
      <c r="CH61" s="4" t="str">
        <f>"2033-2035"</f>
        <v>2033-2035</v>
      </c>
      <c r="CI61" s="4" t="str">
        <f>"29,00"</f>
        <v>29,00</v>
      </c>
      <c r="CJ61" s="4" t="str">
        <f>"2033-2035"</f>
        <v>2033-2035</v>
      </c>
    </row>
    <row r="62" spans="1:88" ht="11.25" customHeight="1">
      <c r="A62" s="45" t="str">
        <f>"24.49"</f>
        <v>24.49</v>
      </c>
      <c r="B62" s="46" t="str">
        <f>"г. Харовск, ул. Мельничная, д.9"</f>
        <v>г. Харовск, ул. Мельничная, д.9</v>
      </c>
      <c r="C62" s="6" t="str">
        <f>"1934"</f>
        <v>1934</v>
      </c>
      <c r="D62" s="4" t="str">
        <f>"1934"</f>
        <v>1934</v>
      </c>
      <c r="E62" s="4" t="str">
        <f>"50,00"</f>
        <v>50,00</v>
      </c>
      <c r="F62" s="4" t="str">
        <f>"2026-2028"</f>
        <v>2026-2028</v>
      </c>
      <c r="G62" s="4" t="str">
        <f t="shared" si="54"/>
        <v>нет</v>
      </c>
      <c r="H62" s="4" t="str">
        <f>""</f>
        <v/>
      </c>
      <c r="I62" s="4" t="str">
        <f>""</f>
        <v/>
      </c>
      <c r="J62" s="4" t="str">
        <f>""</f>
        <v/>
      </c>
      <c r="K62" s="4" t="str">
        <f t="shared" si="1"/>
        <v>нет</v>
      </c>
      <c r="L62" s="4" t="str">
        <f>""</f>
        <v/>
      </c>
      <c r="M62" s="4" t="str">
        <f>""</f>
        <v/>
      </c>
      <c r="N62" s="4" t="str">
        <f>""</f>
        <v/>
      </c>
      <c r="O62" s="7" t="str">
        <f>"1934"</f>
        <v>1934</v>
      </c>
      <c r="P62" s="4" t="str">
        <f>"50,00"</f>
        <v>50,00</v>
      </c>
      <c r="Q62" s="4" t="str">
        <f>"2016-2018"</f>
        <v>2016-2018</v>
      </c>
      <c r="R62" s="4" t="str">
        <f>"нет"</f>
        <v>нет</v>
      </c>
      <c r="S62" s="4" t="str">
        <f>""</f>
        <v/>
      </c>
      <c r="T62" s="4" t="str">
        <f>""</f>
        <v/>
      </c>
      <c r="U62" s="4" t="str">
        <f>""</f>
        <v/>
      </c>
      <c r="V62" s="4" t="str">
        <f t="shared" si="39"/>
        <v>нет</v>
      </c>
      <c r="W62" s="4" t="str">
        <f>""</f>
        <v/>
      </c>
      <c r="X62" s="4" t="str">
        <f>""</f>
        <v/>
      </c>
      <c r="Y62" s="8" t="str">
        <f>""</f>
        <v/>
      </c>
      <c r="Z62" s="4" t="str">
        <f t="shared" si="55"/>
        <v>х</v>
      </c>
      <c r="AA62" s="4" t="str">
        <f t="shared" si="55"/>
        <v>х</v>
      </c>
      <c r="AB62" s="4" t="str">
        <f t="shared" si="55"/>
        <v>х</v>
      </c>
      <c r="AC62" s="4" t="str">
        <f t="shared" si="55"/>
        <v>х</v>
      </c>
      <c r="AD62" s="4" t="str">
        <f t="shared" si="55"/>
        <v>х</v>
      </c>
      <c r="AE62" s="4" t="str">
        <f t="shared" si="55"/>
        <v>х</v>
      </c>
      <c r="AF62" s="4" t="str">
        <f t="shared" si="55"/>
        <v>х</v>
      </c>
      <c r="AG62" s="4" t="str">
        <f t="shared" si="55"/>
        <v>х</v>
      </c>
      <c r="AH62" s="4" t="str">
        <f t="shared" si="55"/>
        <v>х</v>
      </c>
      <c r="AI62" s="4" t="str">
        <f t="shared" si="55"/>
        <v>х</v>
      </c>
      <c r="AJ62" s="4" t="str">
        <f t="shared" si="55"/>
        <v>х</v>
      </c>
      <c r="AK62" s="7" t="str">
        <f>"1934"</f>
        <v>1934</v>
      </c>
      <c r="AL62" s="4" t="str">
        <f>"50,00"</f>
        <v>50,00</v>
      </c>
      <c r="AM62" s="4" t="str">
        <f>"2026-2028"</f>
        <v>2026-2028</v>
      </c>
      <c r="AN62" s="4" t="str">
        <f>"нет"</f>
        <v>нет</v>
      </c>
      <c r="AO62" s="4" t="str">
        <f>""</f>
        <v/>
      </c>
      <c r="AP62" s="4" t="str">
        <f>""</f>
        <v/>
      </c>
      <c r="AQ62" s="4" t="str">
        <f>""</f>
        <v/>
      </c>
      <c r="AR62" s="4" t="str">
        <f t="shared" si="40"/>
        <v>нет</v>
      </c>
      <c r="AS62" s="4" t="str">
        <f>""</f>
        <v/>
      </c>
      <c r="AT62" s="4" t="str">
        <f>""</f>
        <v/>
      </c>
      <c r="AU62" s="4" t="str">
        <f>""</f>
        <v/>
      </c>
      <c r="AV62" s="4" t="str">
        <f>"1934"</f>
        <v>1934</v>
      </c>
      <c r="AW62" s="4" t="str">
        <f>"50,00"</f>
        <v>50,00</v>
      </c>
      <c r="AX62" s="4" t="str">
        <f>"2026-2028"</f>
        <v>2026-2028</v>
      </c>
      <c r="AY62" s="4" t="str">
        <f>"нет"</f>
        <v>нет</v>
      </c>
      <c r="AZ62" s="4" t="str">
        <f>""</f>
        <v/>
      </c>
      <c r="BA62" s="4" t="str">
        <f>""</f>
        <v/>
      </c>
      <c r="BB62" s="4" t="str">
        <f>""</f>
        <v/>
      </c>
      <c r="BC62" s="4" t="str">
        <f>"нет"</f>
        <v>нет</v>
      </c>
      <c r="BD62" s="4" t="str">
        <f>""</f>
        <v/>
      </c>
      <c r="BE62" s="4" t="str">
        <f>""</f>
        <v/>
      </c>
      <c r="BF62" s="4" t="str">
        <f>""</f>
        <v/>
      </c>
      <c r="BG62" s="4" t="str">
        <f>"1934"</f>
        <v>1934</v>
      </c>
      <c r="BH62" s="4" t="str">
        <f>"50,00"</f>
        <v>50,00</v>
      </c>
      <c r="BI62" s="4" t="str">
        <f>"2026-2028"</f>
        <v>2026-2028</v>
      </c>
      <c r="BJ62" s="4" t="str">
        <f t="shared" si="41"/>
        <v>нет</v>
      </c>
      <c r="BK62" s="4" t="str">
        <f>""</f>
        <v/>
      </c>
      <c r="BL62" s="4" t="str">
        <f>""</f>
        <v/>
      </c>
      <c r="BM62" s="4" t="str">
        <f>""</f>
        <v/>
      </c>
      <c r="BN62" s="4" t="str">
        <f t="shared" si="42"/>
        <v>нет</v>
      </c>
      <c r="BO62" s="4" t="str">
        <f>""</f>
        <v/>
      </c>
      <c r="BP62" s="4" t="str">
        <f>""</f>
        <v/>
      </c>
      <c r="BQ62" s="4" t="str">
        <f>""</f>
        <v/>
      </c>
      <c r="BR62" s="4" t="str">
        <f>"1934"</f>
        <v>1934</v>
      </c>
      <c r="BS62" s="4" t="str">
        <f>"60,00"</f>
        <v>60,00</v>
      </c>
      <c r="BT62" s="4" t="str">
        <f>"2016-2018"</f>
        <v>2016-2018</v>
      </c>
      <c r="BU62" s="4" t="str">
        <f t="shared" si="5"/>
        <v>нет</v>
      </c>
      <c r="BV62" s="4" t="str">
        <f t="shared" si="52"/>
        <v>x</v>
      </c>
      <c r="BW62" s="4" t="str">
        <f t="shared" si="52"/>
        <v>x</v>
      </c>
      <c r="BX62" s="4" t="str">
        <f t="shared" si="52"/>
        <v>x</v>
      </c>
      <c r="BY62" s="4" t="str">
        <f t="shared" si="49"/>
        <v>нет</v>
      </c>
      <c r="BZ62" s="4" t="str">
        <f t="shared" si="53"/>
        <v>x</v>
      </c>
      <c r="CA62" s="4" t="str">
        <f t="shared" si="53"/>
        <v>x</v>
      </c>
      <c r="CB62" s="4" t="str">
        <f t="shared" si="53"/>
        <v>x</v>
      </c>
      <c r="CC62" s="4" t="str">
        <f>"1934"</f>
        <v>1934</v>
      </c>
      <c r="CD62" s="4" t="str">
        <f>"60,00"</f>
        <v>60,00</v>
      </c>
      <c r="CE62" s="4" t="str">
        <f>"2016-2018"</f>
        <v>2016-2018</v>
      </c>
      <c r="CF62" s="4" t="str">
        <f>"1934"</f>
        <v>1934</v>
      </c>
      <c r="CG62" s="4" t="str">
        <f>"60,00"</f>
        <v>60,00</v>
      </c>
      <c r="CH62" s="4" t="str">
        <f>"2026-2028"</f>
        <v>2026-2028</v>
      </c>
      <c r="CI62" s="4" t="str">
        <f>"65,00"</f>
        <v>65,00</v>
      </c>
      <c r="CJ62" s="4" t="str">
        <f>"2016-2018"</f>
        <v>2016-2018</v>
      </c>
    </row>
    <row r="63" spans="1:88" ht="11.25" customHeight="1">
      <c r="A63" s="45" t="str">
        <f>"24.50"</f>
        <v>24.50</v>
      </c>
      <c r="B63" s="46" t="str">
        <f>"г. Харовск, ул. Механизаторов, д.2"</f>
        <v>г. Харовск, ул. Механизаторов, д.2</v>
      </c>
      <c r="C63" s="6" t="str">
        <f>"1967"</f>
        <v>1967</v>
      </c>
      <c r="D63" s="4" t="str">
        <f>"1967"</f>
        <v>1967</v>
      </c>
      <c r="E63" s="4" t="str">
        <f>"45,00"</f>
        <v>45,00</v>
      </c>
      <c r="F63" s="4" t="str">
        <f>"2023-2025"</f>
        <v>2023-2025</v>
      </c>
      <c r="G63" s="4" t="str">
        <f t="shared" si="54"/>
        <v>нет</v>
      </c>
      <c r="H63" s="4" t="str">
        <f>""</f>
        <v/>
      </c>
      <c r="I63" s="4" t="str">
        <f>""</f>
        <v/>
      </c>
      <c r="J63" s="4" t="str">
        <f>""</f>
        <v/>
      </c>
      <c r="K63" s="4" t="str">
        <f t="shared" si="1"/>
        <v>нет</v>
      </c>
      <c r="L63" s="4" t="str">
        <f>""</f>
        <v/>
      </c>
      <c r="M63" s="4" t="str">
        <f>""</f>
        <v/>
      </c>
      <c r="N63" s="4" t="str">
        <f>""</f>
        <v/>
      </c>
      <c r="O63" s="7" t="str">
        <f t="shared" ref="O63:Y63" si="58">"х"</f>
        <v>х</v>
      </c>
      <c r="P63" s="4" t="str">
        <f t="shared" si="58"/>
        <v>х</v>
      </c>
      <c r="Q63" s="4" t="str">
        <f t="shared" si="58"/>
        <v>х</v>
      </c>
      <c r="R63" s="4" t="str">
        <f t="shared" si="58"/>
        <v>х</v>
      </c>
      <c r="S63" s="4" t="str">
        <f t="shared" si="58"/>
        <v>х</v>
      </c>
      <c r="T63" s="4" t="str">
        <f t="shared" si="58"/>
        <v>х</v>
      </c>
      <c r="U63" s="4" t="str">
        <f t="shared" si="58"/>
        <v>х</v>
      </c>
      <c r="V63" s="4" t="str">
        <f t="shared" si="58"/>
        <v>х</v>
      </c>
      <c r="W63" s="4" t="str">
        <f t="shared" si="58"/>
        <v>х</v>
      </c>
      <c r="X63" s="4" t="str">
        <f t="shared" si="58"/>
        <v>х</v>
      </c>
      <c r="Y63" s="8" t="str">
        <f t="shared" si="58"/>
        <v>х</v>
      </c>
      <c r="Z63" s="4" t="str">
        <f t="shared" si="55"/>
        <v>х</v>
      </c>
      <c r="AA63" s="4" t="str">
        <f t="shared" si="55"/>
        <v>х</v>
      </c>
      <c r="AB63" s="4" t="str">
        <f t="shared" si="55"/>
        <v>х</v>
      </c>
      <c r="AC63" s="4" t="str">
        <f t="shared" si="55"/>
        <v>х</v>
      </c>
      <c r="AD63" s="4" t="str">
        <f t="shared" si="55"/>
        <v>х</v>
      </c>
      <c r="AE63" s="4" t="str">
        <f t="shared" si="55"/>
        <v>х</v>
      </c>
      <c r="AF63" s="4" t="str">
        <f t="shared" si="55"/>
        <v>х</v>
      </c>
      <c r="AG63" s="4" t="str">
        <f t="shared" si="55"/>
        <v>х</v>
      </c>
      <c r="AH63" s="4" t="str">
        <f t="shared" si="55"/>
        <v>х</v>
      </c>
      <c r="AI63" s="4" t="str">
        <f t="shared" si="55"/>
        <v>х</v>
      </c>
      <c r="AJ63" s="4" t="str">
        <f t="shared" si="55"/>
        <v>х</v>
      </c>
      <c r="AK63" s="7" t="str">
        <f t="shared" ref="AK63:BQ63" si="59">"х"</f>
        <v>х</v>
      </c>
      <c r="AL63" s="4" t="str">
        <f t="shared" si="59"/>
        <v>х</v>
      </c>
      <c r="AM63" s="4" t="str">
        <f t="shared" si="59"/>
        <v>х</v>
      </c>
      <c r="AN63" s="4" t="str">
        <f t="shared" si="59"/>
        <v>х</v>
      </c>
      <c r="AO63" s="4" t="str">
        <f t="shared" si="59"/>
        <v>х</v>
      </c>
      <c r="AP63" s="4" t="str">
        <f t="shared" si="59"/>
        <v>х</v>
      </c>
      <c r="AQ63" s="4" t="str">
        <f t="shared" si="59"/>
        <v>х</v>
      </c>
      <c r="AR63" s="4" t="str">
        <f t="shared" si="59"/>
        <v>х</v>
      </c>
      <c r="AS63" s="4" t="str">
        <f t="shared" si="59"/>
        <v>х</v>
      </c>
      <c r="AT63" s="4" t="str">
        <f t="shared" si="59"/>
        <v>х</v>
      </c>
      <c r="AU63" s="4" t="str">
        <f t="shared" si="59"/>
        <v>х</v>
      </c>
      <c r="AV63" s="4" t="str">
        <f t="shared" si="59"/>
        <v>х</v>
      </c>
      <c r="AW63" s="4" t="str">
        <f t="shared" si="59"/>
        <v>х</v>
      </c>
      <c r="AX63" s="4" t="str">
        <f t="shared" si="59"/>
        <v>х</v>
      </c>
      <c r="AY63" s="4" t="str">
        <f t="shared" si="59"/>
        <v>х</v>
      </c>
      <c r="AZ63" s="4" t="str">
        <f t="shared" si="59"/>
        <v>х</v>
      </c>
      <c r="BA63" s="4" t="str">
        <f t="shared" si="59"/>
        <v>х</v>
      </c>
      <c r="BB63" s="4" t="str">
        <f t="shared" si="59"/>
        <v>х</v>
      </c>
      <c r="BC63" s="4" t="str">
        <f t="shared" si="59"/>
        <v>х</v>
      </c>
      <c r="BD63" s="4" t="str">
        <f t="shared" si="59"/>
        <v>х</v>
      </c>
      <c r="BE63" s="4" t="str">
        <f t="shared" si="59"/>
        <v>х</v>
      </c>
      <c r="BF63" s="4" t="str">
        <f t="shared" si="59"/>
        <v>х</v>
      </c>
      <c r="BG63" s="4" t="str">
        <f t="shared" si="59"/>
        <v>х</v>
      </c>
      <c r="BH63" s="4" t="str">
        <f t="shared" si="59"/>
        <v>х</v>
      </c>
      <c r="BI63" s="4" t="str">
        <f t="shared" si="59"/>
        <v>х</v>
      </c>
      <c r="BJ63" s="4" t="str">
        <f t="shared" si="59"/>
        <v>х</v>
      </c>
      <c r="BK63" s="4" t="str">
        <f t="shared" si="59"/>
        <v>х</v>
      </c>
      <c r="BL63" s="4" t="str">
        <f t="shared" si="59"/>
        <v>х</v>
      </c>
      <c r="BM63" s="4" t="str">
        <f t="shared" si="59"/>
        <v>х</v>
      </c>
      <c r="BN63" s="4" t="str">
        <f t="shared" si="59"/>
        <v>х</v>
      </c>
      <c r="BO63" s="4" t="str">
        <f t="shared" si="59"/>
        <v>х</v>
      </c>
      <c r="BP63" s="4" t="str">
        <f t="shared" si="59"/>
        <v>х</v>
      </c>
      <c r="BQ63" s="4" t="str">
        <f t="shared" si="59"/>
        <v>х</v>
      </c>
      <c r="BR63" s="4" t="str">
        <f>"1967"</f>
        <v>1967</v>
      </c>
      <c r="BS63" s="4" t="str">
        <f>"55,00"</f>
        <v>55,00</v>
      </c>
      <c r="BT63" s="4" t="str">
        <f>"2023-2025"</f>
        <v>2023-2025</v>
      </c>
      <c r="BU63" s="4" t="str">
        <f t="shared" si="5"/>
        <v>нет</v>
      </c>
      <c r="BV63" s="4" t="str">
        <f t="shared" si="52"/>
        <v>x</v>
      </c>
      <c r="BW63" s="4" t="str">
        <f t="shared" si="52"/>
        <v>x</v>
      </c>
      <c r="BX63" s="4" t="str">
        <f t="shared" si="52"/>
        <v>x</v>
      </c>
      <c r="BY63" s="4" t="str">
        <f t="shared" si="49"/>
        <v>нет</v>
      </c>
      <c r="BZ63" s="4" t="str">
        <f t="shared" si="53"/>
        <v>x</v>
      </c>
      <c r="CA63" s="4" t="str">
        <f t="shared" si="53"/>
        <v>x</v>
      </c>
      <c r="CB63" s="4" t="str">
        <f t="shared" si="53"/>
        <v>x</v>
      </c>
      <c r="CC63" s="4" t="str">
        <f>"1967"</f>
        <v>1967</v>
      </c>
      <c r="CD63" s="4" t="str">
        <f>"45,00"</f>
        <v>45,00</v>
      </c>
      <c r="CE63" s="4" t="str">
        <f>"2023-2025"</f>
        <v>2023-2025</v>
      </c>
      <c r="CF63" s="4" t="str">
        <f>"1967"</f>
        <v>1967</v>
      </c>
      <c r="CG63" s="4" t="str">
        <f>"45,00"</f>
        <v>45,00</v>
      </c>
      <c r="CH63" s="4" t="str">
        <f>"2040-2042"</f>
        <v>2040-2042</v>
      </c>
      <c r="CI63" s="4" t="str">
        <f>"48,00"</f>
        <v>48,00</v>
      </c>
      <c r="CJ63" s="4" t="str">
        <f>"2023-2025"</f>
        <v>2023-2025</v>
      </c>
    </row>
    <row r="64" spans="1:88" ht="11.25" customHeight="1">
      <c r="A64" s="45" t="str">
        <f>"24.51"</f>
        <v>24.51</v>
      </c>
      <c r="B64" s="46" t="str">
        <f>"г. Харовск, ул. Октябрьская, д.25"</f>
        <v>г. Харовск, ул. Октябрьская, д.25</v>
      </c>
      <c r="C64" s="6" t="str">
        <f>"1982"</f>
        <v>1982</v>
      </c>
      <c r="D64" s="4" t="str">
        <f>"1982"</f>
        <v>1982</v>
      </c>
      <c r="E64" s="4" t="str">
        <f>"35,00"</f>
        <v>35,00</v>
      </c>
      <c r="F64" s="4" t="str">
        <f>"2029-2031"</f>
        <v>2029-2031</v>
      </c>
      <c r="G64" s="4" t="str">
        <f t="shared" si="54"/>
        <v>нет</v>
      </c>
      <c r="H64" s="4" t="str">
        <f>""</f>
        <v/>
      </c>
      <c r="I64" s="4" t="str">
        <f>""</f>
        <v/>
      </c>
      <c r="J64" s="4" t="str">
        <f>""</f>
        <v/>
      </c>
      <c r="K64" s="4" t="str">
        <f t="shared" si="1"/>
        <v>нет</v>
      </c>
      <c r="L64" s="4" t="str">
        <f>""</f>
        <v/>
      </c>
      <c r="M64" s="4" t="str">
        <f>""</f>
        <v/>
      </c>
      <c r="N64" s="4" t="str">
        <f>""</f>
        <v/>
      </c>
      <c r="O64" s="7" t="str">
        <f>"1982"</f>
        <v>1982</v>
      </c>
      <c r="P64" s="4" t="str">
        <f>"35,00"</f>
        <v>35,00</v>
      </c>
      <c r="Q64" s="4" t="str">
        <f>"2029-2031"</f>
        <v>2029-2031</v>
      </c>
      <c r="R64" s="4" t="str">
        <f>"да"</f>
        <v>да</v>
      </c>
      <c r="S64" s="4" t="str">
        <f>"2009"</f>
        <v>2009</v>
      </c>
      <c r="T64" s="4" t="str">
        <f>"90,00"</f>
        <v>90,00</v>
      </c>
      <c r="U64" s="4" t="str">
        <f>"2029-2031"</f>
        <v>2029-2031</v>
      </c>
      <c r="V64" s="4" t="str">
        <f>"нет"</f>
        <v>нет</v>
      </c>
      <c r="W64" s="4" t="str">
        <f>""</f>
        <v/>
      </c>
      <c r="X64" s="4" t="str">
        <f>""</f>
        <v/>
      </c>
      <c r="Y64" s="8" t="str">
        <f>""</f>
        <v/>
      </c>
      <c r="Z64" s="4" t="str">
        <f t="shared" si="55"/>
        <v>х</v>
      </c>
      <c r="AA64" s="4" t="str">
        <f t="shared" si="55"/>
        <v>х</v>
      </c>
      <c r="AB64" s="4" t="str">
        <f t="shared" si="55"/>
        <v>х</v>
      </c>
      <c r="AC64" s="4" t="str">
        <f t="shared" si="55"/>
        <v>х</v>
      </c>
      <c r="AD64" s="4" t="str">
        <f t="shared" si="55"/>
        <v>х</v>
      </c>
      <c r="AE64" s="4" t="str">
        <f t="shared" si="55"/>
        <v>х</v>
      </c>
      <c r="AF64" s="4" t="str">
        <f t="shared" si="55"/>
        <v>х</v>
      </c>
      <c r="AG64" s="4" t="str">
        <f t="shared" si="55"/>
        <v>х</v>
      </c>
      <c r="AH64" s="4" t="str">
        <f t="shared" si="55"/>
        <v>х</v>
      </c>
      <c r="AI64" s="4" t="str">
        <f t="shared" si="55"/>
        <v>х</v>
      </c>
      <c r="AJ64" s="4" t="str">
        <f t="shared" si="55"/>
        <v>х</v>
      </c>
      <c r="AK64" s="7" t="str">
        <f>"1982"</f>
        <v>1982</v>
      </c>
      <c r="AL64" s="4" t="str">
        <f>"35,00"</f>
        <v>35,00</v>
      </c>
      <c r="AM64" s="4" t="str">
        <f>"2029-2031"</f>
        <v>2029-2031</v>
      </c>
      <c r="AN64" s="4" t="str">
        <f>"нет"</f>
        <v>нет</v>
      </c>
      <c r="AO64" s="4" t="str">
        <f>""</f>
        <v/>
      </c>
      <c r="AP64" s="4" t="str">
        <f>""</f>
        <v/>
      </c>
      <c r="AQ64" s="4" t="str">
        <f>""</f>
        <v/>
      </c>
      <c r="AR64" s="4" t="str">
        <f>"нет"</f>
        <v>нет</v>
      </c>
      <c r="AS64" s="4" t="str">
        <f>""</f>
        <v/>
      </c>
      <c r="AT64" s="4" t="str">
        <f>""</f>
        <v/>
      </c>
      <c r="AU64" s="4" t="str">
        <f>""</f>
        <v/>
      </c>
      <c r="AV64" s="4" t="str">
        <f t="shared" ref="AV64:BF65" si="60">"х"</f>
        <v>х</v>
      </c>
      <c r="AW64" s="4" t="str">
        <f t="shared" si="60"/>
        <v>х</v>
      </c>
      <c r="AX64" s="4" t="str">
        <f t="shared" si="60"/>
        <v>х</v>
      </c>
      <c r="AY64" s="4" t="str">
        <f t="shared" si="60"/>
        <v>х</v>
      </c>
      <c r="AZ64" s="4" t="str">
        <f t="shared" si="60"/>
        <v>х</v>
      </c>
      <c r="BA64" s="4" t="str">
        <f t="shared" si="60"/>
        <v>х</v>
      </c>
      <c r="BB64" s="4" t="str">
        <f t="shared" si="60"/>
        <v>х</v>
      </c>
      <c r="BC64" s="4" t="str">
        <f t="shared" si="60"/>
        <v>х</v>
      </c>
      <c r="BD64" s="4" t="str">
        <f t="shared" si="60"/>
        <v>х</v>
      </c>
      <c r="BE64" s="4" t="str">
        <f t="shared" si="60"/>
        <v>х</v>
      </c>
      <c r="BF64" s="4" t="str">
        <f t="shared" si="60"/>
        <v>х</v>
      </c>
      <c r="BG64" s="4" t="str">
        <f>"1982"</f>
        <v>1982</v>
      </c>
      <c r="BH64" s="4" t="str">
        <f>"35,00"</f>
        <v>35,00</v>
      </c>
      <c r="BI64" s="4" t="str">
        <f>"2029-2031"</f>
        <v>2029-2031</v>
      </c>
      <c r="BJ64" s="4" t="str">
        <f>"нет"</f>
        <v>нет</v>
      </c>
      <c r="BK64" s="4" t="str">
        <f>""</f>
        <v/>
      </c>
      <c r="BL64" s="4" t="str">
        <f>""</f>
        <v/>
      </c>
      <c r="BM64" s="4" t="str">
        <f>""</f>
        <v/>
      </c>
      <c r="BN64" s="4" t="str">
        <f>"нет"</f>
        <v>нет</v>
      </c>
      <c r="BO64" s="4" t="str">
        <f>""</f>
        <v/>
      </c>
      <c r="BP64" s="4" t="str">
        <f>""</f>
        <v/>
      </c>
      <c r="BQ64" s="4" t="str">
        <f>""</f>
        <v/>
      </c>
      <c r="BR64" s="4" t="str">
        <f>"1982"</f>
        <v>1982</v>
      </c>
      <c r="BS64" s="4" t="str">
        <f>"35,00"</f>
        <v>35,00</v>
      </c>
      <c r="BT64" s="4" t="str">
        <f>"2029-2031"</f>
        <v>2029-2031</v>
      </c>
      <c r="BU64" s="4" t="str">
        <f t="shared" si="5"/>
        <v>нет</v>
      </c>
      <c r="BV64" s="4" t="str">
        <f t="shared" si="52"/>
        <v>x</v>
      </c>
      <c r="BW64" s="4" t="str">
        <f t="shared" si="52"/>
        <v>x</v>
      </c>
      <c r="BX64" s="4" t="str">
        <f t="shared" si="52"/>
        <v>x</v>
      </c>
      <c r="BY64" s="4" t="str">
        <f t="shared" si="49"/>
        <v>нет</v>
      </c>
      <c r="BZ64" s="4" t="str">
        <f t="shared" si="53"/>
        <v>x</v>
      </c>
      <c r="CA64" s="4" t="str">
        <f t="shared" si="53"/>
        <v>x</v>
      </c>
      <c r="CB64" s="4" t="str">
        <f t="shared" si="53"/>
        <v>x</v>
      </c>
      <c r="CC64" s="4" t="str">
        <f>"1982"</f>
        <v>1982</v>
      </c>
      <c r="CD64" s="4" t="str">
        <f>"30,00"</f>
        <v>30,00</v>
      </c>
      <c r="CE64" s="4" t="str">
        <f>"2029-2031"</f>
        <v>2029-2031</v>
      </c>
      <c r="CF64" s="4" t="str">
        <f>"1982"</f>
        <v>1982</v>
      </c>
      <c r="CG64" s="4" t="str">
        <f>"25,00"</f>
        <v>25,00</v>
      </c>
      <c r="CH64" s="4" t="str">
        <f>"2029-2031"</f>
        <v>2029-2031</v>
      </c>
      <c r="CI64" s="4" t="str">
        <f>"26,00"</f>
        <v>26,00</v>
      </c>
      <c r="CJ64" s="4" t="str">
        <f>"2029-2031"</f>
        <v>2029-2031</v>
      </c>
    </row>
    <row r="65" spans="1:88" ht="11.25" customHeight="1">
      <c r="A65" s="45" t="str">
        <f>"24.52"</f>
        <v>24.52</v>
      </c>
      <c r="B65" s="46" t="str">
        <f>"г. Харовск, ул. Прокатова, д.60"</f>
        <v>г. Харовск, ул. Прокатова, д.60</v>
      </c>
      <c r="C65" s="6" t="str">
        <f>"1973"</f>
        <v>1973</v>
      </c>
      <c r="D65" s="4" t="str">
        <f>"1973"</f>
        <v>1973</v>
      </c>
      <c r="E65" s="4" t="str">
        <f>"45,00"</f>
        <v>45,00</v>
      </c>
      <c r="F65" s="4" t="str">
        <f>"2025-2027"</f>
        <v>2025-2027</v>
      </c>
      <c r="G65" s="4" t="str">
        <f t="shared" si="54"/>
        <v>нет</v>
      </c>
      <c r="H65" s="4" t="str">
        <f>""</f>
        <v/>
      </c>
      <c r="I65" s="4" t="str">
        <f>""</f>
        <v/>
      </c>
      <c r="J65" s="4" t="str">
        <f>""</f>
        <v/>
      </c>
      <c r="K65" s="4" t="str">
        <f t="shared" si="1"/>
        <v>нет</v>
      </c>
      <c r="L65" s="4" t="str">
        <f>""</f>
        <v/>
      </c>
      <c r="M65" s="4" t="str">
        <f>""</f>
        <v/>
      </c>
      <c r="N65" s="4" t="str">
        <f>""</f>
        <v/>
      </c>
      <c r="O65" s="7" t="str">
        <f>"1973"</f>
        <v>1973</v>
      </c>
      <c r="P65" s="4" t="str">
        <f>"35,00"</f>
        <v>35,00</v>
      </c>
      <c r="Q65" s="4" t="str">
        <f>"2025-2027"</f>
        <v>2025-2027</v>
      </c>
      <c r="R65" s="4" t="str">
        <f>"да"</f>
        <v>да</v>
      </c>
      <c r="S65" s="4" t="str">
        <f>"2009"</f>
        <v>2009</v>
      </c>
      <c r="T65" s="4" t="str">
        <f>"75,00"</f>
        <v>75,00</v>
      </c>
      <c r="U65" s="4" t="str">
        <f>"2025-2027"</f>
        <v>2025-2027</v>
      </c>
      <c r="V65" s="4" t="str">
        <f>"нет"</f>
        <v>нет</v>
      </c>
      <c r="W65" s="4" t="str">
        <f>""</f>
        <v/>
      </c>
      <c r="X65" s="4" t="str">
        <f>""</f>
        <v/>
      </c>
      <c r="Y65" s="8" t="str">
        <f>""</f>
        <v/>
      </c>
      <c r="Z65" s="4" t="str">
        <f>"1973"</f>
        <v>1973</v>
      </c>
      <c r="AA65" s="4" t="str">
        <f>"40,00"</f>
        <v>40,00</v>
      </c>
      <c r="AB65" s="4" t="str">
        <f>"2025-2027"</f>
        <v>2025-2027</v>
      </c>
      <c r="AC65" s="4" t="str">
        <f>"нет"</f>
        <v>нет</v>
      </c>
      <c r="AD65" s="4" t="str">
        <f>""</f>
        <v/>
      </c>
      <c r="AE65" s="4" t="str">
        <f>""</f>
        <v/>
      </c>
      <c r="AF65" s="4" t="str">
        <f>""</f>
        <v/>
      </c>
      <c r="AG65" s="4" t="str">
        <f>"нет"</f>
        <v>нет</v>
      </c>
      <c r="AH65" s="4" t="str">
        <f>""</f>
        <v/>
      </c>
      <c r="AI65" s="4" t="str">
        <f>""</f>
        <v/>
      </c>
      <c r="AJ65" s="4" t="str">
        <f>""</f>
        <v/>
      </c>
      <c r="AK65" s="7" t="str">
        <f>"1973"</f>
        <v>1973</v>
      </c>
      <c r="AL65" s="4" t="str">
        <f>"35,00"</f>
        <v>35,00</v>
      </c>
      <c r="AM65" s="4" t="str">
        <f>"2025-2027"</f>
        <v>2025-2027</v>
      </c>
      <c r="AN65" s="4" t="str">
        <f>"нет"</f>
        <v>нет</v>
      </c>
      <c r="AO65" s="4" t="str">
        <f>""</f>
        <v/>
      </c>
      <c r="AP65" s="4" t="str">
        <f>""</f>
        <v/>
      </c>
      <c r="AQ65" s="4" t="str">
        <f>""</f>
        <v/>
      </c>
      <c r="AR65" s="4" t="str">
        <f>"нет"</f>
        <v>нет</v>
      </c>
      <c r="AS65" s="4" t="str">
        <f>""</f>
        <v/>
      </c>
      <c r="AT65" s="4" t="str">
        <f>""</f>
        <v/>
      </c>
      <c r="AU65" s="4" t="str">
        <f>""</f>
        <v/>
      </c>
      <c r="AV65" s="4" t="str">
        <f t="shared" si="60"/>
        <v>х</v>
      </c>
      <c r="AW65" s="4" t="str">
        <f t="shared" si="60"/>
        <v>х</v>
      </c>
      <c r="AX65" s="4" t="str">
        <f t="shared" si="60"/>
        <v>х</v>
      </c>
      <c r="AY65" s="4" t="str">
        <f t="shared" si="60"/>
        <v>х</v>
      </c>
      <c r="AZ65" s="4" t="str">
        <f t="shared" si="60"/>
        <v>х</v>
      </c>
      <c r="BA65" s="4" t="str">
        <f t="shared" si="60"/>
        <v>х</v>
      </c>
      <c r="BB65" s="4" t="str">
        <f t="shared" si="60"/>
        <v>х</v>
      </c>
      <c r="BC65" s="4" t="str">
        <f t="shared" si="60"/>
        <v>х</v>
      </c>
      <c r="BD65" s="4" t="str">
        <f t="shared" si="60"/>
        <v>х</v>
      </c>
      <c r="BE65" s="4" t="str">
        <f t="shared" si="60"/>
        <v>х</v>
      </c>
      <c r="BF65" s="4" t="str">
        <f t="shared" si="60"/>
        <v>х</v>
      </c>
      <c r="BG65" s="4" t="str">
        <f>"1973"</f>
        <v>1973</v>
      </c>
      <c r="BH65" s="4" t="str">
        <f>"25,00"</f>
        <v>25,00</v>
      </c>
      <c r="BI65" s="4" t="str">
        <f>"2025-2027"</f>
        <v>2025-2027</v>
      </c>
      <c r="BJ65" s="4" t="str">
        <f>"нет"</f>
        <v>нет</v>
      </c>
      <c r="BK65" s="4" t="str">
        <f>""</f>
        <v/>
      </c>
      <c r="BL65" s="4" t="str">
        <f>""</f>
        <v/>
      </c>
      <c r="BM65" s="4" t="str">
        <f>""</f>
        <v/>
      </c>
      <c r="BN65" s="4" t="str">
        <f>"нет"</f>
        <v>нет</v>
      </c>
      <c r="BO65" s="4" t="str">
        <f>""</f>
        <v/>
      </c>
      <c r="BP65" s="4" t="str">
        <f>""</f>
        <v/>
      </c>
      <c r="BQ65" s="4" t="str">
        <f>""</f>
        <v/>
      </c>
      <c r="BR65" s="4" t="str">
        <f>"1973"</f>
        <v>1973</v>
      </c>
      <c r="BS65" s="4" t="str">
        <f>"40,00"</f>
        <v>40,00</v>
      </c>
      <c r="BT65" s="4" t="str">
        <f>"2025-2027"</f>
        <v>2025-2027</v>
      </c>
      <c r="BU65" s="4" t="str">
        <f t="shared" si="5"/>
        <v>нет</v>
      </c>
      <c r="BV65" s="4" t="str">
        <f t="shared" si="52"/>
        <v>x</v>
      </c>
      <c r="BW65" s="4" t="str">
        <f t="shared" si="52"/>
        <v>x</v>
      </c>
      <c r="BX65" s="4" t="str">
        <f t="shared" si="52"/>
        <v>x</v>
      </c>
      <c r="BY65" s="4" t="str">
        <f t="shared" si="49"/>
        <v>нет</v>
      </c>
      <c r="BZ65" s="4" t="str">
        <f t="shared" si="53"/>
        <v>x</v>
      </c>
      <c r="CA65" s="4" t="str">
        <f t="shared" si="53"/>
        <v>x</v>
      </c>
      <c r="CB65" s="4" t="str">
        <f t="shared" si="53"/>
        <v>x</v>
      </c>
      <c r="CC65" s="4" t="str">
        <f>"1973"</f>
        <v>1973</v>
      </c>
      <c r="CD65" s="4" t="str">
        <f>"45,00"</f>
        <v>45,00</v>
      </c>
      <c r="CE65" s="4" t="str">
        <f>"2025-2027"</f>
        <v>2025-2027</v>
      </c>
      <c r="CF65" s="4" t="str">
        <f>"1973"</f>
        <v>1973</v>
      </c>
      <c r="CG65" s="4" t="str">
        <f>"40,00"</f>
        <v>40,00</v>
      </c>
      <c r="CH65" s="4" t="str">
        <f>"2025-2027"</f>
        <v>2025-2027</v>
      </c>
      <c r="CI65" s="4" t="str">
        <f>"40,00"</f>
        <v>40,00</v>
      </c>
      <c r="CJ65" s="4" t="str">
        <f>"2025-2027"</f>
        <v>2025-2027</v>
      </c>
    </row>
    <row r="66" spans="1:88" ht="11.25" customHeight="1">
      <c r="A66" s="45" t="str">
        <f>"24.53"</f>
        <v>24.53</v>
      </c>
      <c r="B66" s="46" t="str">
        <f>"г. Харовск, ул. Пушкина, д.9"</f>
        <v>г. Харовск, ул. Пушкина, д.9</v>
      </c>
      <c r="C66" s="6" t="str">
        <f>"1982"</f>
        <v>1982</v>
      </c>
      <c r="D66" s="4" t="str">
        <f>"1982"</f>
        <v>1982</v>
      </c>
      <c r="E66" s="4" t="str">
        <f>"25,00"</f>
        <v>25,00</v>
      </c>
      <c r="F66" s="4" t="str">
        <f>"2029-2031"</f>
        <v>2029-2031</v>
      </c>
      <c r="G66" s="4" t="str">
        <f t="shared" si="54"/>
        <v>нет</v>
      </c>
      <c r="H66" s="4" t="str">
        <f>""</f>
        <v/>
      </c>
      <c r="I66" s="4" t="str">
        <f>""</f>
        <v/>
      </c>
      <c r="J66" s="4" t="str">
        <f>""</f>
        <v/>
      </c>
      <c r="K66" s="4" t="str">
        <f t="shared" si="1"/>
        <v>нет</v>
      </c>
      <c r="L66" s="4" t="str">
        <f>""</f>
        <v/>
      </c>
      <c r="M66" s="4" t="str">
        <f>""</f>
        <v/>
      </c>
      <c r="N66" s="4" t="str">
        <f>""</f>
        <v/>
      </c>
      <c r="O66" s="7" t="str">
        <f>"1982"</f>
        <v>1982</v>
      </c>
      <c r="P66" s="4" t="str">
        <f>"25,00"</f>
        <v>25,00</v>
      </c>
      <c r="Q66" s="4" t="str">
        <f>"2029-2031"</f>
        <v>2029-2031</v>
      </c>
      <c r="R66" s="4" t="str">
        <f>"да"</f>
        <v>да</v>
      </c>
      <c r="S66" s="4" t="str">
        <f>"2009"</f>
        <v>2009</v>
      </c>
      <c r="T66" s="4" t="str">
        <f>"75,00"</f>
        <v>75,00</v>
      </c>
      <c r="U66" s="4" t="str">
        <f>"2029-2031"</f>
        <v>2029-2031</v>
      </c>
      <c r="V66" s="4" t="str">
        <f>"нет"</f>
        <v>нет</v>
      </c>
      <c r="W66" s="4" t="str">
        <f>""</f>
        <v/>
      </c>
      <c r="X66" s="4" t="str">
        <f>""</f>
        <v/>
      </c>
      <c r="Y66" s="8" t="str">
        <f>""</f>
        <v/>
      </c>
      <c r="Z66" s="4" t="str">
        <f>"1982"</f>
        <v>1982</v>
      </c>
      <c r="AA66" s="4" t="str">
        <f>"25,00"</f>
        <v>25,00</v>
      </c>
      <c r="AB66" s="4" t="str">
        <f>"2029-2031"</f>
        <v>2029-2031</v>
      </c>
      <c r="AC66" s="4" t="str">
        <f>"нет"</f>
        <v>нет</v>
      </c>
      <c r="AD66" s="4" t="str">
        <f>""</f>
        <v/>
      </c>
      <c r="AE66" s="4" t="str">
        <f>""</f>
        <v/>
      </c>
      <c r="AF66" s="4" t="str">
        <f>""</f>
        <v/>
      </c>
      <c r="AG66" s="4" t="str">
        <f>"нет"</f>
        <v>нет</v>
      </c>
      <c r="AH66" s="4" t="str">
        <f>""</f>
        <v/>
      </c>
      <c r="AI66" s="4" t="str">
        <f>""</f>
        <v/>
      </c>
      <c r="AJ66" s="4" t="str">
        <f>""</f>
        <v/>
      </c>
      <c r="AK66" s="7" t="str">
        <f>"1982"</f>
        <v>1982</v>
      </c>
      <c r="AL66" s="4" t="str">
        <f>"25,00"</f>
        <v>25,00</v>
      </c>
      <c r="AM66" s="4" t="str">
        <f>"2029-2031"</f>
        <v>2029-2031</v>
      </c>
      <c r="AN66" s="4" t="str">
        <f>"нет"</f>
        <v>нет</v>
      </c>
      <c r="AO66" s="4" t="str">
        <f>"2013"</f>
        <v>2013</v>
      </c>
      <c r="AP66" s="4" t="str">
        <f>"0,00"</f>
        <v>0,00</v>
      </c>
      <c r="AQ66" s="4" t="str">
        <f>"2029-2031"</f>
        <v>2029-2031</v>
      </c>
      <c r="AR66" s="4" t="str">
        <f>"нет"</f>
        <v>нет</v>
      </c>
      <c r="AS66" s="4" t="str">
        <f>""</f>
        <v/>
      </c>
      <c r="AT66" s="4" t="str">
        <f>""</f>
        <v/>
      </c>
      <c r="AU66" s="4" t="str">
        <f>""</f>
        <v/>
      </c>
      <c r="AV66" s="4" t="str">
        <f>"1982"</f>
        <v>1982</v>
      </c>
      <c r="AW66" s="4" t="str">
        <f>"25,00"</f>
        <v>25,00</v>
      </c>
      <c r="AX66" s="4" t="str">
        <f>"2029-2031"</f>
        <v>2029-2031</v>
      </c>
      <c r="AY66" s="4" t="str">
        <f>"нет"</f>
        <v>нет</v>
      </c>
      <c r="AZ66" s="4" t="str">
        <f>""</f>
        <v/>
      </c>
      <c r="BA66" s="4" t="str">
        <f>""</f>
        <v/>
      </c>
      <c r="BB66" s="4" t="str">
        <f>""</f>
        <v/>
      </c>
      <c r="BC66" s="4" t="str">
        <f>"нет"</f>
        <v>нет</v>
      </c>
      <c r="BD66" s="4" t="str">
        <f>""</f>
        <v/>
      </c>
      <c r="BE66" s="4" t="str">
        <f>""</f>
        <v/>
      </c>
      <c r="BF66" s="4" t="str">
        <f>""</f>
        <v/>
      </c>
      <c r="BG66" s="4" t="str">
        <f>"1982"</f>
        <v>1982</v>
      </c>
      <c r="BH66" s="4" t="str">
        <f>"25,00"</f>
        <v>25,00</v>
      </c>
      <c r="BI66" s="4" t="str">
        <f>"2029-2031"</f>
        <v>2029-2031</v>
      </c>
      <c r="BJ66" s="4" t="str">
        <f>"нет"</f>
        <v>нет</v>
      </c>
      <c r="BK66" s="4" t="str">
        <f>""</f>
        <v/>
      </c>
      <c r="BL66" s="4" t="str">
        <f>""</f>
        <v/>
      </c>
      <c r="BM66" s="4" t="str">
        <f>""</f>
        <v/>
      </c>
      <c r="BN66" s="4" t="str">
        <f>"нет"</f>
        <v>нет</v>
      </c>
      <c r="BO66" s="4" t="str">
        <f>""</f>
        <v/>
      </c>
      <c r="BP66" s="4" t="str">
        <f>""</f>
        <v/>
      </c>
      <c r="BQ66" s="4" t="str">
        <f>""</f>
        <v/>
      </c>
      <c r="BR66" s="4" t="str">
        <f>"1982"</f>
        <v>1982</v>
      </c>
      <c r="BS66" s="4" t="str">
        <f>"30,00"</f>
        <v>30,00</v>
      </c>
      <c r="BT66" s="4" t="str">
        <f>"2029-2031"</f>
        <v>2029-2031</v>
      </c>
      <c r="BU66" s="4" t="str">
        <f t="shared" si="5"/>
        <v>нет</v>
      </c>
      <c r="BV66" s="4" t="str">
        <f t="shared" si="52"/>
        <v>x</v>
      </c>
      <c r="BW66" s="4" t="str">
        <f t="shared" si="52"/>
        <v>x</v>
      </c>
      <c r="BX66" s="4" t="str">
        <f t="shared" si="52"/>
        <v>x</v>
      </c>
      <c r="BY66" s="4" t="str">
        <f t="shared" si="49"/>
        <v>нет</v>
      </c>
      <c r="BZ66" s="4" t="str">
        <f t="shared" si="53"/>
        <v>x</v>
      </c>
      <c r="CA66" s="4" t="str">
        <f t="shared" si="53"/>
        <v>x</v>
      </c>
      <c r="CB66" s="4" t="str">
        <f t="shared" si="53"/>
        <v>x</v>
      </c>
      <c r="CC66" s="4" t="str">
        <f>"1982"</f>
        <v>1982</v>
      </c>
      <c r="CD66" s="4" t="str">
        <f>"25,00"</f>
        <v>25,00</v>
      </c>
      <c r="CE66" s="4" t="str">
        <f>"2029-2031"</f>
        <v>2029-2031</v>
      </c>
      <c r="CF66" s="4" t="str">
        <f>"1982"</f>
        <v>1982</v>
      </c>
      <c r="CG66" s="4" t="str">
        <f>"30,00"</f>
        <v>30,00</v>
      </c>
      <c r="CH66" s="4" t="str">
        <f>"2029-2031"</f>
        <v>2029-2031</v>
      </c>
      <c r="CI66" s="4" t="str">
        <f>"25,00"</f>
        <v>25,00</v>
      </c>
      <c r="CJ66" s="4" t="str">
        <f>"2029-2031"</f>
        <v>2029-2031</v>
      </c>
    </row>
    <row r="67" spans="1:88" ht="11.25" customHeight="1">
      <c r="A67" s="45" t="str">
        <f>"24.54"</f>
        <v>24.54</v>
      </c>
      <c r="B67" s="46" t="str">
        <f>"г. Харовск, ул. Ручейная, д.7"</f>
        <v>г. Харовск, ул. Ручейная, д.7</v>
      </c>
      <c r="C67" s="6" t="str">
        <f>"1994"</f>
        <v>1994</v>
      </c>
      <c r="D67" s="4" t="str">
        <f>"1994"</f>
        <v>1994</v>
      </c>
      <c r="E67" s="4" t="str">
        <f>"5,00"</f>
        <v>5,00</v>
      </c>
      <c r="F67" s="4" t="str">
        <f>"2025-2027"</f>
        <v>2025-2027</v>
      </c>
      <c r="G67" s="4" t="str">
        <f t="shared" si="54"/>
        <v>нет</v>
      </c>
      <c r="H67" s="4" t="str">
        <f>""</f>
        <v/>
      </c>
      <c r="I67" s="4" t="str">
        <f>""</f>
        <v/>
      </c>
      <c r="J67" s="4" t="str">
        <f>""</f>
        <v/>
      </c>
      <c r="K67" s="4" t="str">
        <f t="shared" si="1"/>
        <v>нет</v>
      </c>
      <c r="L67" s="4" t="str">
        <f>""</f>
        <v/>
      </c>
      <c r="M67" s="4" t="str">
        <f>""</f>
        <v/>
      </c>
      <c r="N67" s="4" t="str">
        <f>""</f>
        <v/>
      </c>
      <c r="O67" s="7" t="str">
        <f t="shared" ref="O67:AT67" si="61">"х"</f>
        <v>х</v>
      </c>
      <c r="P67" s="4" t="str">
        <f t="shared" si="61"/>
        <v>х</v>
      </c>
      <c r="Q67" s="4" t="str">
        <f t="shared" si="61"/>
        <v>х</v>
      </c>
      <c r="R67" s="4" t="str">
        <f t="shared" si="61"/>
        <v>х</v>
      </c>
      <c r="S67" s="4" t="str">
        <f t="shared" si="61"/>
        <v>х</v>
      </c>
      <c r="T67" s="4" t="str">
        <f t="shared" si="61"/>
        <v>х</v>
      </c>
      <c r="U67" s="4" t="str">
        <f t="shared" si="61"/>
        <v>х</v>
      </c>
      <c r="V67" s="4" t="str">
        <f t="shared" si="61"/>
        <v>х</v>
      </c>
      <c r="W67" s="4" t="str">
        <f t="shared" si="61"/>
        <v>х</v>
      </c>
      <c r="X67" s="4" t="str">
        <f t="shared" si="61"/>
        <v>х</v>
      </c>
      <c r="Y67" s="8" t="str">
        <f t="shared" si="61"/>
        <v>х</v>
      </c>
      <c r="Z67" s="4" t="str">
        <f t="shared" si="61"/>
        <v>х</v>
      </c>
      <c r="AA67" s="4" t="str">
        <f t="shared" si="61"/>
        <v>х</v>
      </c>
      <c r="AB67" s="4" t="str">
        <f t="shared" si="61"/>
        <v>х</v>
      </c>
      <c r="AC67" s="4" t="str">
        <f t="shared" si="61"/>
        <v>х</v>
      </c>
      <c r="AD67" s="4" t="str">
        <f t="shared" si="61"/>
        <v>х</v>
      </c>
      <c r="AE67" s="4" t="str">
        <f t="shared" si="61"/>
        <v>х</v>
      </c>
      <c r="AF67" s="4" t="str">
        <f t="shared" si="61"/>
        <v>х</v>
      </c>
      <c r="AG67" s="4" t="str">
        <f t="shared" si="61"/>
        <v>х</v>
      </c>
      <c r="AH67" s="4" t="str">
        <f t="shared" si="61"/>
        <v>х</v>
      </c>
      <c r="AI67" s="4" t="str">
        <f t="shared" si="61"/>
        <v>х</v>
      </c>
      <c r="AJ67" s="4" t="str">
        <f t="shared" si="61"/>
        <v>х</v>
      </c>
      <c r="AK67" s="7" t="str">
        <f t="shared" si="61"/>
        <v>х</v>
      </c>
      <c r="AL67" s="4" t="str">
        <f t="shared" si="61"/>
        <v>х</v>
      </c>
      <c r="AM67" s="4" t="str">
        <f t="shared" si="61"/>
        <v>х</v>
      </c>
      <c r="AN67" s="4" t="str">
        <f t="shared" si="61"/>
        <v>х</v>
      </c>
      <c r="AO67" s="4" t="str">
        <f t="shared" si="61"/>
        <v>х</v>
      </c>
      <c r="AP67" s="4" t="str">
        <f t="shared" si="61"/>
        <v>х</v>
      </c>
      <c r="AQ67" s="4" t="str">
        <f t="shared" si="61"/>
        <v>х</v>
      </c>
      <c r="AR67" s="4" t="str">
        <f t="shared" si="61"/>
        <v>х</v>
      </c>
      <c r="AS67" s="4" t="str">
        <f t="shared" si="61"/>
        <v>х</v>
      </c>
      <c r="AT67" s="4" t="str">
        <f t="shared" si="61"/>
        <v>х</v>
      </c>
      <c r="AU67" s="4" t="str">
        <f t="shared" ref="AU67:BQ67" si="62">"х"</f>
        <v>х</v>
      </c>
      <c r="AV67" s="4" t="str">
        <f t="shared" si="62"/>
        <v>х</v>
      </c>
      <c r="AW67" s="4" t="str">
        <f t="shared" si="62"/>
        <v>х</v>
      </c>
      <c r="AX67" s="4" t="str">
        <f t="shared" si="62"/>
        <v>х</v>
      </c>
      <c r="AY67" s="4" t="str">
        <f t="shared" si="62"/>
        <v>х</v>
      </c>
      <c r="AZ67" s="4" t="str">
        <f t="shared" si="62"/>
        <v>х</v>
      </c>
      <c r="BA67" s="4" t="str">
        <f t="shared" si="62"/>
        <v>х</v>
      </c>
      <c r="BB67" s="4" t="str">
        <f t="shared" si="62"/>
        <v>х</v>
      </c>
      <c r="BC67" s="4" t="str">
        <f t="shared" si="62"/>
        <v>х</v>
      </c>
      <c r="BD67" s="4" t="str">
        <f t="shared" si="62"/>
        <v>х</v>
      </c>
      <c r="BE67" s="4" t="str">
        <f t="shared" si="62"/>
        <v>х</v>
      </c>
      <c r="BF67" s="4" t="str">
        <f t="shared" si="62"/>
        <v>х</v>
      </c>
      <c r="BG67" s="4" t="str">
        <f t="shared" si="62"/>
        <v>х</v>
      </c>
      <c r="BH67" s="4" t="str">
        <f t="shared" si="62"/>
        <v>х</v>
      </c>
      <c r="BI67" s="4" t="str">
        <f t="shared" si="62"/>
        <v>х</v>
      </c>
      <c r="BJ67" s="4" t="str">
        <f t="shared" si="62"/>
        <v>х</v>
      </c>
      <c r="BK67" s="4" t="str">
        <f t="shared" si="62"/>
        <v>х</v>
      </c>
      <c r="BL67" s="4" t="str">
        <f t="shared" si="62"/>
        <v>х</v>
      </c>
      <c r="BM67" s="4" t="str">
        <f t="shared" si="62"/>
        <v>х</v>
      </c>
      <c r="BN67" s="4" t="str">
        <f t="shared" si="62"/>
        <v>х</v>
      </c>
      <c r="BO67" s="4" t="str">
        <f t="shared" si="62"/>
        <v>х</v>
      </c>
      <c r="BP67" s="4" t="str">
        <f t="shared" si="62"/>
        <v>х</v>
      </c>
      <c r="BQ67" s="4" t="str">
        <f t="shared" si="62"/>
        <v>х</v>
      </c>
      <c r="BR67" s="4" t="str">
        <f>"1994"</f>
        <v>1994</v>
      </c>
      <c r="BS67" s="4" t="str">
        <f>"3,00"</f>
        <v>3,00</v>
      </c>
      <c r="BT67" s="4" t="str">
        <f>"2025-2027"</f>
        <v>2025-2027</v>
      </c>
      <c r="BU67" s="4" t="str">
        <f t="shared" si="5"/>
        <v>нет</v>
      </c>
      <c r="BV67" s="4" t="str">
        <f t="shared" si="52"/>
        <v>x</v>
      </c>
      <c r="BW67" s="4" t="str">
        <f t="shared" si="52"/>
        <v>x</v>
      </c>
      <c r="BX67" s="4" t="str">
        <f t="shared" si="52"/>
        <v>x</v>
      </c>
      <c r="BY67" s="4" t="str">
        <f t="shared" si="49"/>
        <v>нет</v>
      </c>
      <c r="BZ67" s="4" t="str">
        <f t="shared" si="53"/>
        <v>x</v>
      </c>
      <c r="CA67" s="4" t="str">
        <f t="shared" si="53"/>
        <v>x</v>
      </c>
      <c r="CB67" s="4" t="str">
        <f t="shared" si="53"/>
        <v>x</v>
      </c>
      <c r="CC67" s="4" t="str">
        <f>"1994"</f>
        <v>1994</v>
      </c>
      <c r="CD67" s="4" t="str">
        <f>"3,00"</f>
        <v>3,00</v>
      </c>
      <c r="CE67" s="4" t="str">
        <f>"2025-2027"</f>
        <v>2025-2027</v>
      </c>
      <c r="CF67" s="4" t="str">
        <f>"1994"</f>
        <v>1994</v>
      </c>
      <c r="CG67" s="4" t="str">
        <f>"3,00"</f>
        <v>3,00</v>
      </c>
      <c r="CH67" s="4" t="str">
        <f>"2025-2027"</f>
        <v>2025-2027</v>
      </c>
      <c r="CI67" s="4" t="str">
        <f>"17,00"</f>
        <v>17,00</v>
      </c>
      <c r="CJ67" s="4" t="str">
        <f>"2035-2037"</f>
        <v>2035-2037</v>
      </c>
    </row>
    <row r="68" spans="1:88" ht="11.25" customHeight="1">
      <c r="A68" s="45" t="str">
        <f>"24.55"</f>
        <v>24.55</v>
      </c>
      <c r="B68" s="46" t="str">
        <f>"г. Харовск, ул. Свободы, д.13"</f>
        <v>г. Харовск, ул. Свободы, д.13</v>
      </c>
      <c r="C68" s="6" t="str">
        <f>"1986"</f>
        <v>1986</v>
      </c>
      <c r="D68" s="4" t="str">
        <f>"1986"</f>
        <v>1986</v>
      </c>
      <c r="E68" s="4" t="str">
        <f>"30,00"</f>
        <v>30,00</v>
      </c>
      <c r="F68" s="4" t="str">
        <f>"2031-2033"</f>
        <v>2031-2033</v>
      </c>
      <c r="G68" s="4" t="str">
        <f t="shared" si="54"/>
        <v>нет</v>
      </c>
      <c r="H68" s="4" t="str">
        <f>""</f>
        <v/>
      </c>
      <c r="I68" s="4" t="str">
        <f>""</f>
        <v/>
      </c>
      <c r="J68" s="4" t="str">
        <f>""</f>
        <v/>
      </c>
      <c r="K68" s="4" t="str">
        <f t="shared" si="1"/>
        <v>нет</v>
      </c>
      <c r="L68" s="4" t="str">
        <f>""</f>
        <v/>
      </c>
      <c r="M68" s="4" t="str">
        <f>""</f>
        <v/>
      </c>
      <c r="N68" s="4" t="str">
        <f>""</f>
        <v/>
      </c>
      <c r="O68" s="7" t="str">
        <f>"1986"</f>
        <v>1986</v>
      </c>
      <c r="P68" s="4" t="str">
        <f>"30,00"</f>
        <v>30,00</v>
      </c>
      <c r="Q68" s="4" t="str">
        <f>"2031-2033"</f>
        <v>2031-2033</v>
      </c>
      <c r="R68" s="4" t="str">
        <f>"да"</f>
        <v>да</v>
      </c>
      <c r="S68" s="4" t="str">
        <f>"2009"</f>
        <v>2009</v>
      </c>
      <c r="T68" s="4" t="str">
        <f>"75,00"</f>
        <v>75,00</v>
      </c>
      <c r="U68" s="4" t="str">
        <f>"2031-2033"</f>
        <v>2031-2033</v>
      </c>
      <c r="V68" s="4" t="str">
        <f>"нет"</f>
        <v>нет</v>
      </c>
      <c r="W68" s="4" t="str">
        <f>""</f>
        <v/>
      </c>
      <c r="X68" s="4" t="str">
        <f>""</f>
        <v/>
      </c>
      <c r="Y68" s="8" t="str">
        <f>""</f>
        <v/>
      </c>
      <c r="Z68" s="4" t="str">
        <f t="shared" ref="Z68:AJ72" si="63">"х"</f>
        <v>х</v>
      </c>
      <c r="AA68" s="4" t="str">
        <f t="shared" si="63"/>
        <v>х</v>
      </c>
      <c r="AB68" s="4" t="str">
        <f t="shared" si="63"/>
        <v>х</v>
      </c>
      <c r="AC68" s="4" t="str">
        <f t="shared" si="63"/>
        <v>х</v>
      </c>
      <c r="AD68" s="4" t="str">
        <f t="shared" si="63"/>
        <v>х</v>
      </c>
      <c r="AE68" s="4" t="str">
        <f t="shared" si="63"/>
        <v>х</v>
      </c>
      <c r="AF68" s="4" t="str">
        <f t="shared" si="63"/>
        <v>х</v>
      </c>
      <c r="AG68" s="4" t="str">
        <f t="shared" si="63"/>
        <v>х</v>
      </c>
      <c r="AH68" s="4" t="str">
        <f t="shared" si="63"/>
        <v>х</v>
      </c>
      <c r="AI68" s="4" t="str">
        <f t="shared" si="63"/>
        <v>х</v>
      </c>
      <c r="AJ68" s="4" t="str">
        <f t="shared" si="63"/>
        <v>х</v>
      </c>
      <c r="AK68" s="7" t="str">
        <f>"1986"</f>
        <v>1986</v>
      </c>
      <c r="AL68" s="4" t="str">
        <f>"30,00"</f>
        <v>30,00</v>
      </c>
      <c r="AM68" s="4" t="str">
        <f>"2031-2033"</f>
        <v>2031-2033</v>
      </c>
      <c r="AN68" s="4" t="str">
        <f>"да"</f>
        <v>да</v>
      </c>
      <c r="AO68" s="4" t="str">
        <f>"2013"</f>
        <v>2013</v>
      </c>
      <c r="AP68" s="4" t="str">
        <f>"0,00"</f>
        <v>0,00</v>
      </c>
      <c r="AQ68" s="4" t="str">
        <f>"2031-2033"</f>
        <v>2031-2033</v>
      </c>
      <c r="AR68" s="4" t="str">
        <f t="shared" ref="AR68:AR73" si="64">"нет"</f>
        <v>нет</v>
      </c>
      <c r="AS68" s="4" t="str">
        <f>""</f>
        <v/>
      </c>
      <c r="AT68" s="4" t="str">
        <f>""</f>
        <v/>
      </c>
      <c r="AU68" s="4" t="str">
        <f>""</f>
        <v/>
      </c>
      <c r="AV68" s="4" t="str">
        <f t="shared" ref="AV68:BF78" si="65">"х"</f>
        <v>х</v>
      </c>
      <c r="AW68" s="4" t="str">
        <f t="shared" si="65"/>
        <v>х</v>
      </c>
      <c r="AX68" s="4" t="str">
        <f t="shared" si="65"/>
        <v>х</v>
      </c>
      <c r="AY68" s="4" t="str">
        <f t="shared" si="65"/>
        <v>х</v>
      </c>
      <c r="AZ68" s="4" t="str">
        <f t="shared" si="65"/>
        <v>х</v>
      </c>
      <c r="BA68" s="4" t="str">
        <f t="shared" si="65"/>
        <v>х</v>
      </c>
      <c r="BB68" s="4" t="str">
        <f t="shared" si="65"/>
        <v>х</v>
      </c>
      <c r="BC68" s="4" t="str">
        <f t="shared" si="65"/>
        <v>х</v>
      </c>
      <c r="BD68" s="4" t="str">
        <f t="shared" si="65"/>
        <v>х</v>
      </c>
      <c r="BE68" s="4" t="str">
        <f t="shared" si="65"/>
        <v>х</v>
      </c>
      <c r="BF68" s="4" t="str">
        <f t="shared" si="65"/>
        <v>х</v>
      </c>
      <c r="BG68" s="4" t="str">
        <f>"1986"</f>
        <v>1986</v>
      </c>
      <c r="BH68" s="4" t="str">
        <f>"30,00"</f>
        <v>30,00</v>
      </c>
      <c r="BI68" s="4" t="str">
        <f>"2031-2033"</f>
        <v>2031-2033</v>
      </c>
      <c r="BJ68" s="4" t="str">
        <f>"нет"</f>
        <v>нет</v>
      </c>
      <c r="BK68" s="4" t="str">
        <f>""</f>
        <v/>
      </c>
      <c r="BL68" s="4" t="str">
        <f>""</f>
        <v/>
      </c>
      <c r="BM68" s="4" t="str">
        <f>""</f>
        <v/>
      </c>
      <c r="BN68" s="4" t="str">
        <f>"нет"</f>
        <v>нет</v>
      </c>
      <c r="BO68" s="4" t="str">
        <f>""</f>
        <v/>
      </c>
      <c r="BP68" s="4" t="str">
        <f>""</f>
        <v/>
      </c>
      <c r="BQ68" s="4" t="str">
        <f>""</f>
        <v/>
      </c>
      <c r="BR68" s="4" t="str">
        <f>"1986"</f>
        <v>1986</v>
      </c>
      <c r="BS68" s="4" t="str">
        <f>"30,00"</f>
        <v>30,00</v>
      </c>
      <c r="BT68" s="4" t="str">
        <f>"2031-2033"</f>
        <v>2031-2033</v>
      </c>
      <c r="BU68" s="4" t="str">
        <f t="shared" si="5"/>
        <v>нет</v>
      </c>
      <c r="BV68" s="4" t="str">
        <f t="shared" si="52"/>
        <v>x</v>
      </c>
      <c r="BW68" s="4" t="str">
        <f t="shared" si="52"/>
        <v>x</v>
      </c>
      <c r="BX68" s="4" t="str">
        <f t="shared" si="52"/>
        <v>x</v>
      </c>
      <c r="BY68" s="4" t="str">
        <f t="shared" si="49"/>
        <v>нет</v>
      </c>
      <c r="BZ68" s="4" t="str">
        <f t="shared" si="53"/>
        <v>x</v>
      </c>
      <c r="CA68" s="4" t="str">
        <f t="shared" si="53"/>
        <v>x</v>
      </c>
      <c r="CB68" s="4" t="str">
        <f t="shared" si="53"/>
        <v>x</v>
      </c>
      <c r="CC68" s="4" t="str">
        <f>"1986"</f>
        <v>1986</v>
      </c>
      <c r="CD68" s="4" t="str">
        <f>"25,00"</f>
        <v>25,00</v>
      </c>
      <c r="CE68" s="4" t="str">
        <f>"2031-2033"</f>
        <v>2031-2033</v>
      </c>
      <c r="CF68" s="4" t="str">
        <f>"1986"</f>
        <v>1986</v>
      </c>
      <c r="CG68" s="4" t="str">
        <f>"20,00"</f>
        <v>20,00</v>
      </c>
      <c r="CH68" s="4" t="str">
        <f>"2031-2033"</f>
        <v>2031-2033</v>
      </c>
      <c r="CI68" s="4" t="str">
        <f>"26,00"</f>
        <v>26,00</v>
      </c>
      <c r="CJ68" s="4" t="str">
        <f>"2031-2033"</f>
        <v>2031-2033</v>
      </c>
    </row>
    <row r="69" spans="1:88" ht="11.25" customHeight="1">
      <c r="A69" s="45" t="str">
        <f>"24.56"</f>
        <v>24.56</v>
      </c>
      <c r="B69" s="46" t="str">
        <f>"г. Харовск, ул. Свободы, д.17"</f>
        <v>г. Харовск, ул. Свободы, д.17</v>
      </c>
      <c r="C69" s="6" t="str">
        <f>"1987"</f>
        <v>1987</v>
      </c>
      <c r="D69" s="4" t="str">
        <f>"1987"</f>
        <v>1987</v>
      </c>
      <c r="E69" s="4" t="str">
        <f>"30,00"</f>
        <v>30,00</v>
      </c>
      <c r="F69" s="4" t="str">
        <f>"2032-2034"</f>
        <v>2032-2034</v>
      </c>
      <c r="G69" s="4" t="str">
        <f t="shared" si="54"/>
        <v>нет</v>
      </c>
      <c r="H69" s="4" t="str">
        <f>""</f>
        <v/>
      </c>
      <c r="I69" s="4" t="str">
        <f>""</f>
        <v/>
      </c>
      <c r="J69" s="4" t="str">
        <f>""</f>
        <v/>
      </c>
      <c r="K69" s="4" t="str">
        <f t="shared" si="1"/>
        <v>нет</v>
      </c>
      <c r="L69" s="4" t="str">
        <f>""</f>
        <v/>
      </c>
      <c r="M69" s="4" t="str">
        <f>""</f>
        <v/>
      </c>
      <c r="N69" s="4" t="str">
        <f>""</f>
        <v/>
      </c>
      <c r="O69" s="7" t="str">
        <f>"1987"</f>
        <v>1987</v>
      </c>
      <c r="P69" s="4" t="str">
        <f>"30,00"</f>
        <v>30,00</v>
      </c>
      <c r="Q69" s="4" t="str">
        <f>"2032-2034"</f>
        <v>2032-2034</v>
      </c>
      <c r="R69" s="4" t="str">
        <f>"да"</f>
        <v>да</v>
      </c>
      <c r="S69" s="4" t="str">
        <f>"2009"</f>
        <v>2009</v>
      </c>
      <c r="T69" s="4" t="str">
        <f>"75,00"</f>
        <v>75,00</v>
      </c>
      <c r="U69" s="4" t="str">
        <f>"2032-2034"</f>
        <v>2032-2034</v>
      </c>
      <c r="V69" s="4" t="str">
        <f>"нет"</f>
        <v>нет</v>
      </c>
      <c r="W69" s="4" t="str">
        <f>""</f>
        <v/>
      </c>
      <c r="X69" s="4" t="str">
        <f>""</f>
        <v/>
      </c>
      <c r="Y69" s="8" t="str">
        <f>""</f>
        <v/>
      </c>
      <c r="Z69" s="4" t="str">
        <f t="shared" si="63"/>
        <v>х</v>
      </c>
      <c r="AA69" s="4" t="str">
        <f t="shared" si="63"/>
        <v>х</v>
      </c>
      <c r="AB69" s="4" t="str">
        <f t="shared" si="63"/>
        <v>х</v>
      </c>
      <c r="AC69" s="4" t="str">
        <f t="shared" si="63"/>
        <v>х</v>
      </c>
      <c r="AD69" s="4" t="str">
        <f t="shared" si="63"/>
        <v>х</v>
      </c>
      <c r="AE69" s="4" t="str">
        <f t="shared" si="63"/>
        <v>х</v>
      </c>
      <c r="AF69" s="4" t="str">
        <f t="shared" si="63"/>
        <v>х</v>
      </c>
      <c r="AG69" s="4" t="str">
        <f t="shared" si="63"/>
        <v>х</v>
      </c>
      <c r="AH69" s="4" t="str">
        <f t="shared" si="63"/>
        <v>х</v>
      </c>
      <c r="AI69" s="4" t="str">
        <f t="shared" si="63"/>
        <v>х</v>
      </c>
      <c r="AJ69" s="4" t="str">
        <f t="shared" si="63"/>
        <v>х</v>
      </c>
      <c r="AK69" s="7" t="str">
        <f>"1987"</f>
        <v>1987</v>
      </c>
      <c r="AL69" s="4" t="str">
        <f>"30,00"</f>
        <v>30,00</v>
      </c>
      <c r="AM69" s="4" t="str">
        <f>"2032-2034"</f>
        <v>2032-2034</v>
      </c>
      <c r="AN69" s="4" t="str">
        <f>"да"</f>
        <v>да</v>
      </c>
      <c r="AO69" s="4" t="str">
        <f>"2013"</f>
        <v>2013</v>
      </c>
      <c r="AP69" s="4" t="str">
        <f>"0,00"</f>
        <v>0,00</v>
      </c>
      <c r="AQ69" s="4" t="str">
        <f>"2032-2034"</f>
        <v>2032-2034</v>
      </c>
      <c r="AR69" s="4" t="str">
        <f t="shared" si="64"/>
        <v>нет</v>
      </c>
      <c r="AS69" s="4" t="str">
        <f>""</f>
        <v/>
      </c>
      <c r="AT69" s="4" t="str">
        <f>""</f>
        <v/>
      </c>
      <c r="AU69" s="4" t="str">
        <f>""</f>
        <v/>
      </c>
      <c r="AV69" s="4" t="str">
        <f t="shared" si="65"/>
        <v>х</v>
      </c>
      <c r="AW69" s="4" t="str">
        <f t="shared" si="65"/>
        <v>х</v>
      </c>
      <c r="AX69" s="4" t="str">
        <f t="shared" si="65"/>
        <v>х</v>
      </c>
      <c r="AY69" s="4" t="str">
        <f t="shared" si="65"/>
        <v>х</v>
      </c>
      <c r="AZ69" s="4" t="str">
        <f t="shared" si="65"/>
        <v>х</v>
      </c>
      <c r="BA69" s="4" t="str">
        <f t="shared" si="65"/>
        <v>х</v>
      </c>
      <c r="BB69" s="4" t="str">
        <f t="shared" si="65"/>
        <v>х</v>
      </c>
      <c r="BC69" s="4" t="str">
        <f t="shared" si="65"/>
        <v>х</v>
      </c>
      <c r="BD69" s="4" t="str">
        <f t="shared" si="65"/>
        <v>х</v>
      </c>
      <c r="BE69" s="4" t="str">
        <f t="shared" si="65"/>
        <v>х</v>
      </c>
      <c r="BF69" s="4" t="str">
        <f t="shared" si="65"/>
        <v>х</v>
      </c>
      <c r="BG69" s="4" t="str">
        <f>"1987"</f>
        <v>1987</v>
      </c>
      <c r="BH69" s="4" t="str">
        <f>"30,00"</f>
        <v>30,00</v>
      </c>
      <c r="BI69" s="4" t="str">
        <f>"2032-2034"</f>
        <v>2032-2034</v>
      </c>
      <c r="BJ69" s="4" t="str">
        <f>"нет"</f>
        <v>нет</v>
      </c>
      <c r="BK69" s="4" t="str">
        <f>""</f>
        <v/>
      </c>
      <c r="BL69" s="4" t="str">
        <f>""</f>
        <v/>
      </c>
      <c r="BM69" s="4" t="str">
        <f>""</f>
        <v/>
      </c>
      <c r="BN69" s="4" t="str">
        <f>"нет"</f>
        <v>нет</v>
      </c>
      <c r="BO69" s="4" t="str">
        <f>""</f>
        <v/>
      </c>
      <c r="BP69" s="4" t="str">
        <f>""</f>
        <v/>
      </c>
      <c r="BQ69" s="4" t="str">
        <f>""</f>
        <v/>
      </c>
      <c r="BR69" s="4" t="str">
        <f>"1987"</f>
        <v>1987</v>
      </c>
      <c r="BS69" s="4" t="str">
        <f>"30,00"</f>
        <v>30,00</v>
      </c>
      <c r="BT69" s="4" t="str">
        <f>"2032-2034"</f>
        <v>2032-2034</v>
      </c>
      <c r="BU69" s="4" t="str">
        <f t="shared" si="5"/>
        <v>нет</v>
      </c>
      <c r="BV69" s="4" t="str">
        <f t="shared" si="52"/>
        <v>x</v>
      </c>
      <c r="BW69" s="4" t="str">
        <f t="shared" si="52"/>
        <v>x</v>
      </c>
      <c r="BX69" s="4" t="str">
        <f t="shared" si="52"/>
        <v>x</v>
      </c>
      <c r="BY69" s="4" t="str">
        <f t="shared" si="49"/>
        <v>нет</v>
      </c>
      <c r="BZ69" s="4" t="str">
        <f t="shared" si="53"/>
        <v>x</v>
      </c>
      <c r="CA69" s="4" t="str">
        <f t="shared" si="53"/>
        <v>x</v>
      </c>
      <c r="CB69" s="4" t="str">
        <f t="shared" si="53"/>
        <v>x</v>
      </c>
      <c r="CC69" s="4" t="str">
        <f>"1987"</f>
        <v>1987</v>
      </c>
      <c r="CD69" s="4" t="str">
        <f>"25,00"</f>
        <v>25,00</v>
      </c>
      <c r="CE69" s="4" t="str">
        <f>"2032-2034"</f>
        <v>2032-2034</v>
      </c>
      <c r="CF69" s="4" t="str">
        <f>"1987"</f>
        <v>1987</v>
      </c>
      <c r="CG69" s="4" t="str">
        <f>"20,00"</f>
        <v>20,00</v>
      </c>
      <c r="CH69" s="4" t="str">
        <f>"2032-2034"</f>
        <v>2032-2034</v>
      </c>
      <c r="CI69" s="4" t="str">
        <f>"26,00"</f>
        <v>26,00</v>
      </c>
      <c r="CJ69" s="4" t="str">
        <f>"2032-2034"</f>
        <v>2032-2034</v>
      </c>
    </row>
    <row r="70" spans="1:88" ht="11.25" customHeight="1">
      <c r="A70" s="45" t="str">
        <f>"24.57"</f>
        <v>24.57</v>
      </c>
      <c r="B70" s="46" t="str">
        <f>"г. Харовск, ул. Свободы, д.26"</f>
        <v>г. Харовск, ул. Свободы, д.26</v>
      </c>
      <c r="C70" s="6" t="str">
        <f>"1959"</f>
        <v>1959</v>
      </c>
      <c r="D70" s="4" t="str">
        <f>"1959"</f>
        <v>1959</v>
      </c>
      <c r="E70" s="4" t="str">
        <f>"20,00"</f>
        <v>20,00</v>
      </c>
      <c r="F70" s="4" t="str">
        <f>"2028-2030"</f>
        <v>2028-2030</v>
      </c>
      <c r="G70" s="4" t="str">
        <f t="shared" si="54"/>
        <v>нет</v>
      </c>
      <c r="H70" s="4" t="str">
        <f>""</f>
        <v/>
      </c>
      <c r="I70" s="4" t="str">
        <f>""</f>
        <v/>
      </c>
      <c r="J70" s="4" t="str">
        <f>""</f>
        <v/>
      </c>
      <c r="K70" s="4" t="str">
        <f t="shared" si="1"/>
        <v>нет</v>
      </c>
      <c r="L70" s="4" t="str">
        <f>""</f>
        <v/>
      </c>
      <c r="M70" s="4" t="str">
        <f>""</f>
        <v/>
      </c>
      <c r="N70" s="4" t="str">
        <f>""</f>
        <v/>
      </c>
      <c r="O70" s="7" t="str">
        <f>"1959"</f>
        <v>1959</v>
      </c>
      <c r="P70" s="4" t="str">
        <f>"20,00"</f>
        <v>20,00</v>
      </c>
      <c r="Q70" s="4" t="str">
        <f>"2018-2020"</f>
        <v>2018-2020</v>
      </c>
      <c r="R70" s="4" t="str">
        <f>"нет"</f>
        <v>нет</v>
      </c>
      <c r="S70" s="4" t="str">
        <f>""</f>
        <v/>
      </c>
      <c r="T70" s="4" t="str">
        <f>""</f>
        <v/>
      </c>
      <c r="U70" s="4" t="str">
        <f>"2018-2020"</f>
        <v>2018-2020</v>
      </c>
      <c r="V70" s="4" t="str">
        <f>"нет"</f>
        <v>нет</v>
      </c>
      <c r="W70" s="4" t="str">
        <f>""</f>
        <v/>
      </c>
      <c r="X70" s="4" t="str">
        <f>""</f>
        <v/>
      </c>
      <c r="Y70" s="8" t="str">
        <f>""</f>
        <v/>
      </c>
      <c r="Z70" s="4" t="str">
        <f t="shared" si="63"/>
        <v>х</v>
      </c>
      <c r="AA70" s="4" t="str">
        <f t="shared" si="63"/>
        <v>х</v>
      </c>
      <c r="AB70" s="4" t="str">
        <f t="shared" si="63"/>
        <v>х</v>
      </c>
      <c r="AC70" s="4" t="str">
        <f t="shared" si="63"/>
        <v>х</v>
      </c>
      <c r="AD70" s="4" t="str">
        <f t="shared" si="63"/>
        <v>х</v>
      </c>
      <c r="AE70" s="4" t="str">
        <f t="shared" si="63"/>
        <v>х</v>
      </c>
      <c r="AF70" s="4" t="str">
        <f t="shared" si="63"/>
        <v>х</v>
      </c>
      <c r="AG70" s="4" t="str">
        <f t="shared" si="63"/>
        <v>х</v>
      </c>
      <c r="AH70" s="4" t="str">
        <f t="shared" si="63"/>
        <v>х</v>
      </c>
      <c r="AI70" s="4" t="str">
        <f t="shared" si="63"/>
        <v>х</v>
      </c>
      <c r="AJ70" s="4" t="str">
        <f t="shared" si="63"/>
        <v>х</v>
      </c>
      <c r="AK70" s="7" t="str">
        <f>"1959"</f>
        <v>1959</v>
      </c>
      <c r="AL70" s="4" t="str">
        <f>"20,00"</f>
        <v>20,00</v>
      </c>
      <c r="AM70" s="4" t="str">
        <f>"2028-2030"</f>
        <v>2028-2030</v>
      </c>
      <c r="AN70" s="4" t="str">
        <f>"нет"</f>
        <v>нет</v>
      </c>
      <c r="AO70" s="4" t="str">
        <f>""</f>
        <v/>
      </c>
      <c r="AP70" s="4" t="str">
        <f>""</f>
        <v/>
      </c>
      <c r="AQ70" s="4" t="str">
        <f>""</f>
        <v/>
      </c>
      <c r="AR70" s="4" t="str">
        <f t="shared" si="64"/>
        <v>нет</v>
      </c>
      <c r="AS70" s="4" t="str">
        <f>""</f>
        <v/>
      </c>
      <c r="AT70" s="4" t="str">
        <f>""</f>
        <v/>
      </c>
      <c r="AU70" s="4" t="str">
        <f>""</f>
        <v/>
      </c>
      <c r="AV70" s="4" t="str">
        <f t="shared" si="65"/>
        <v>х</v>
      </c>
      <c r="AW70" s="4" t="str">
        <f t="shared" si="65"/>
        <v>х</v>
      </c>
      <c r="AX70" s="4" t="str">
        <f t="shared" si="65"/>
        <v>х</v>
      </c>
      <c r="AY70" s="4" t="str">
        <f t="shared" si="65"/>
        <v>х</v>
      </c>
      <c r="AZ70" s="4" t="str">
        <f t="shared" si="65"/>
        <v>х</v>
      </c>
      <c r="BA70" s="4" t="str">
        <f t="shared" si="65"/>
        <v>х</v>
      </c>
      <c r="BB70" s="4" t="str">
        <f t="shared" si="65"/>
        <v>х</v>
      </c>
      <c r="BC70" s="4" t="str">
        <f t="shared" si="65"/>
        <v>х</v>
      </c>
      <c r="BD70" s="4" t="str">
        <f t="shared" si="65"/>
        <v>х</v>
      </c>
      <c r="BE70" s="4" t="str">
        <f t="shared" si="65"/>
        <v>х</v>
      </c>
      <c r="BF70" s="4" t="str">
        <f t="shared" si="65"/>
        <v>х</v>
      </c>
      <c r="BG70" s="4" t="str">
        <f>"1959"</f>
        <v>1959</v>
      </c>
      <c r="BH70" s="4" t="str">
        <f>"20,00"</f>
        <v>20,00</v>
      </c>
      <c r="BI70" s="4" t="str">
        <f>"2028-2030"</f>
        <v>2028-2030</v>
      </c>
      <c r="BJ70" s="4" t="str">
        <f>"нет"</f>
        <v>нет</v>
      </c>
      <c r="BK70" s="4" t="str">
        <f>""</f>
        <v/>
      </c>
      <c r="BL70" s="4" t="str">
        <f>""</f>
        <v/>
      </c>
      <c r="BM70" s="4" t="str">
        <f>""</f>
        <v/>
      </c>
      <c r="BN70" s="4" t="str">
        <f>"нет"</f>
        <v>нет</v>
      </c>
      <c r="BO70" s="4" t="str">
        <f>""</f>
        <v/>
      </c>
      <c r="BP70" s="4" t="str">
        <f>""</f>
        <v/>
      </c>
      <c r="BQ70" s="4" t="str">
        <f>""</f>
        <v/>
      </c>
      <c r="BR70" s="4" t="str">
        <f>"1959"</f>
        <v>1959</v>
      </c>
      <c r="BS70" s="4" t="str">
        <f>"50,00"</f>
        <v>50,00</v>
      </c>
      <c r="BT70" s="4" t="str">
        <f>"2018-2020"</f>
        <v>2018-2020</v>
      </c>
      <c r="BU70" s="4" t="str">
        <f t="shared" si="5"/>
        <v>нет</v>
      </c>
      <c r="BV70" s="4" t="str">
        <f t="shared" si="52"/>
        <v>x</v>
      </c>
      <c r="BW70" s="4" t="str">
        <f t="shared" si="52"/>
        <v>x</v>
      </c>
      <c r="BX70" s="4" t="str">
        <f t="shared" si="52"/>
        <v>x</v>
      </c>
      <c r="BY70" s="4" t="str">
        <f t="shared" si="49"/>
        <v>нет</v>
      </c>
      <c r="BZ70" s="4" t="str">
        <f t="shared" si="53"/>
        <v>x</v>
      </c>
      <c r="CA70" s="4" t="str">
        <f t="shared" si="53"/>
        <v>x</v>
      </c>
      <c r="CB70" s="4" t="str">
        <f t="shared" si="53"/>
        <v>x</v>
      </c>
      <c r="CC70" s="4" t="str">
        <f>"1959"</f>
        <v>1959</v>
      </c>
      <c r="CD70" s="4" t="str">
        <f>"55,00"</f>
        <v>55,00</v>
      </c>
      <c r="CE70" s="4" t="str">
        <f>"2018-2020"</f>
        <v>2018-2020</v>
      </c>
      <c r="CF70" s="4" t="str">
        <f>"1959"</f>
        <v>1959</v>
      </c>
      <c r="CG70" s="4" t="str">
        <f>"45,00"</f>
        <v>45,00</v>
      </c>
      <c r="CH70" s="4" t="str">
        <f>"2028-2030"</f>
        <v>2028-2030</v>
      </c>
      <c r="CI70" s="4" t="str">
        <f>"43,00"</f>
        <v>43,00</v>
      </c>
      <c r="CJ70" s="4" t="str">
        <f>"2018-2020"</f>
        <v>2018-2020</v>
      </c>
    </row>
    <row r="71" spans="1:88" ht="11.25" customHeight="1">
      <c r="A71" s="45" t="str">
        <f>"24.58"</f>
        <v>24.58</v>
      </c>
      <c r="B71" s="46" t="str">
        <f>"г. Харовск, ул. Советская, д.21"</f>
        <v>г. Харовск, ул. Советская, д.21</v>
      </c>
      <c r="C71" s="6" t="str">
        <f>"1980"</f>
        <v>1980</v>
      </c>
      <c r="D71" s="4" t="str">
        <f>"1980"</f>
        <v>1980</v>
      </c>
      <c r="E71" s="4" t="str">
        <f>"30,00"</f>
        <v>30,00</v>
      </c>
      <c r="F71" s="4" t="str">
        <f>"2028-2030"</f>
        <v>2028-2030</v>
      </c>
      <c r="G71" s="4" t="str">
        <f t="shared" si="54"/>
        <v>нет</v>
      </c>
      <c r="H71" s="4" t="str">
        <f>""</f>
        <v/>
      </c>
      <c r="I71" s="4" t="str">
        <f>""</f>
        <v/>
      </c>
      <c r="J71" s="4" t="str">
        <f>""</f>
        <v/>
      </c>
      <c r="K71" s="4" t="str">
        <f t="shared" si="1"/>
        <v>нет</v>
      </c>
      <c r="L71" s="4" t="str">
        <f>""</f>
        <v/>
      </c>
      <c r="M71" s="4" t="str">
        <f>""</f>
        <v/>
      </c>
      <c r="N71" s="4" t="str">
        <f>""</f>
        <v/>
      </c>
      <c r="O71" s="7" t="str">
        <f>"1980"</f>
        <v>1980</v>
      </c>
      <c r="P71" s="4" t="str">
        <f>"30,00"</f>
        <v>30,00</v>
      </c>
      <c r="Q71" s="4" t="str">
        <f>"2028-2030"</f>
        <v>2028-2030</v>
      </c>
      <c r="R71" s="4" t="str">
        <f>"нет"</f>
        <v>нет</v>
      </c>
      <c r="S71" s="4" t="str">
        <f>""</f>
        <v/>
      </c>
      <c r="T71" s="4" t="str">
        <f>""</f>
        <v/>
      </c>
      <c r="U71" s="4" t="str">
        <f>""</f>
        <v/>
      </c>
      <c r="V71" s="4" t="str">
        <f>"нет"</f>
        <v>нет</v>
      </c>
      <c r="W71" s="4" t="str">
        <f>""</f>
        <v/>
      </c>
      <c r="X71" s="4" t="str">
        <f>""</f>
        <v/>
      </c>
      <c r="Y71" s="8" t="str">
        <f>""</f>
        <v/>
      </c>
      <c r="Z71" s="4" t="str">
        <f t="shared" si="63"/>
        <v>х</v>
      </c>
      <c r="AA71" s="4" t="str">
        <f t="shared" si="63"/>
        <v>х</v>
      </c>
      <c r="AB71" s="4" t="str">
        <f t="shared" si="63"/>
        <v>х</v>
      </c>
      <c r="AC71" s="4" t="str">
        <f t="shared" si="63"/>
        <v>х</v>
      </c>
      <c r="AD71" s="4" t="str">
        <f t="shared" si="63"/>
        <v>х</v>
      </c>
      <c r="AE71" s="4" t="str">
        <f t="shared" si="63"/>
        <v>х</v>
      </c>
      <c r="AF71" s="4" t="str">
        <f t="shared" si="63"/>
        <v>х</v>
      </c>
      <c r="AG71" s="4" t="str">
        <f t="shared" si="63"/>
        <v>х</v>
      </c>
      <c r="AH71" s="4" t="str">
        <f t="shared" si="63"/>
        <v>х</v>
      </c>
      <c r="AI71" s="4" t="str">
        <f t="shared" si="63"/>
        <v>х</v>
      </c>
      <c r="AJ71" s="4" t="str">
        <f t="shared" si="63"/>
        <v>х</v>
      </c>
      <c r="AK71" s="7" t="str">
        <f>"1980"</f>
        <v>1980</v>
      </c>
      <c r="AL71" s="4" t="str">
        <f>"30,00"</f>
        <v>30,00</v>
      </c>
      <c r="AM71" s="4" t="str">
        <f>"2028-2030"</f>
        <v>2028-2030</v>
      </c>
      <c r="AN71" s="4" t="str">
        <f>"да"</f>
        <v>да</v>
      </c>
      <c r="AO71" s="4" t="str">
        <f>"2013"</f>
        <v>2013</v>
      </c>
      <c r="AP71" s="4" t="str">
        <f>"0,00"</f>
        <v>0,00</v>
      </c>
      <c r="AQ71" s="4" t="str">
        <f>"2028-2030"</f>
        <v>2028-2030</v>
      </c>
      <c r="AR71" s="4" t="str">
        <f t="shared" si="64"/>
        <v>нет</v>
      </c>
      <c r="AS71" s="4" t="str">
        <f>""</f>
        <v/>
      </c>
      <c r="AT71" s="4" t="str">
        <f>""</f>
        <v/>
      </c>
      <c r="AU71" s="4" t="str">
        <f>""</f>
        <v/>
      </c>
      <c r="AV71" s="4" t="str">
        <f t="shared" si="65"/>
        <v>х</v>
      </c>
      <c r="AW71" s="4" t="str">
        <f t="shared" si="65"/>
        <v>х</v>
      </c>
      <c r="AX71" s="4" t="str">
        <f t="shared" si="65"/>
        <v>х</v>
      </c>
      <c r="AY71" s="4" t="str">
        <f t="shared" si="65"/>
        <v>х</v>
      </c>
      <c r="AZ71" s="4" t="str">
        <f t="shared" si="65"/>
        <v>х</v>
      </c>
      <c r="BA71" s="4" t="str">
        <f t="shared" si="65"/>
        <v>х</v>
      </c>
      <c r="BB71" s="4" t="str">
        <f t="shared" si="65"/>
        <v>х</v>
      </c>
      <c r="BC71" s="4" t="str">
        <f t="shared" si="65"/>
        <v>х</v>
      </c>
      <c r="BD71" s="4" t="str">
        <f t="shared" si="65"/>
        <v>х</v>
      </c>
      <c r="BE71" s="4" t="str">
        <f t="shared" si="65"/>
        <v>х</v>
      </c>
      <c r="BF71" s="4" t="str">
        <f t="shared" si="65"/>
        <v>х</v>
      </c>
      <c r="BG71" s="4" t="str">
        <f>"1980"</f>
        <v>1980</v>
      </c>
      <c r="BH71" s="4" t="str">
        <f>"30,00"</f>
        <v>30,00</v>
      </c>
      <c r="BI71" s="4" t="str">
        <f>"2028-2030"</f>
        <v>2028-2030</v>
      </c>
      <c r="BJ71" s="4" t="str">
        <f>"нет"</f>
        <v>нет</v>
      </c>
      <c r="BK71" s="4" t="str">
        <f>""</f>
        <v/>
      </c>
      <c r="BL71" s="4" t="str">
        <f>""</f>
        <v/>
      </c>
      <c r="BM71" s="4" t="str">
        <f>""</f>
        <v/>
      </c>
      <c r="BN71" s="4" t="str">
        <f>"нет"</f>
        <v>нет</v>
      </c>
      <c r="BO71" s="4" t="str">
        <f>""</f>
        <v/>
      </c>
      <c r="BP71" s="4" t="str">
        <f>""</f>
        <v/>
      </c>
      <c r="BQ71" s="4" t="str">
        <f>""</f>
        <v/>
      </c>
      <c r="BR71" s="4" t="str">
        <f>"1980"</f>
        <v>1980</v>
      </c>
      <c r="BS71" s="4" t="str">
        <f>"45,00"</f>
        <v>45,00</v>
      </c>
      <c r="BT71" s="4" t="str">
        <f>"2028-2030"</f>
        <v>2028-2030</v>
      </c>
      <c r="BU71" s="4" t="str">
        <f t="shared" si="5"/>
        <v>нет</v>
      </c>
      <c r="BV71" s="4" t="str">
        <f t="shared" si="52"/>
        <v>x</v>
      </c>
      <c r="BW71" s="4" t="str">
        <f t="shared" si="52"/>
        <v>x</v>
      </c>
      <c r="BX71" s="4" t="str">
        <f t="shared" si="52"/>
        <v>x</v>
      </c>
      <c r="BY71" s="4" t="str">
        <f t="shared" si="49"/>
        <v>нет</v>
      </c>
      <c r="BZ71" s="4" t="str">
        <f t="shared" si="53"/>
        <v>x</v>
      </c>
      <c r="CA71" s="4" t="str">
        <f t="shared" si="53"/>
        <v>x</v>
      </c>
      <c r="CB71" s="4" t="str">
        <f t="shared" si="53"/>
        <v>x</v>
      </c>
      <c r="CC71" s="4" t="str">
        <f>"1980"</f>
        <v>1980</v>
      </c>
      <c r="CD71" s="4" t="str">
        <f>"35,00"</f>
        <v>35,00</v>
      </c>
      <c r="CE71" s="4" t="str">
        <f>"2028-2030"</f>
        <v>2028-2030</v>
      </c>
      <c r="CF71" s="4" t="str">
        <f>"1980"</f>
        <v>1980</v>
      </c>
      <c r="CG71" s="4" t="str">
        <f>"25,00"</f>
        <v>25,00</v>
      </c>
      <c r="CH71" s="4" t="str">
        <f>"2028-2030"</f>
        <v>2028-2030</v>
      </c>
      <c r="CI71" s="4" t="str">
        <f>"33,00"</f>
        <v>33,00</v>
      </c>
      <c r="CJ71" s="4" t="str">
        <f>"2028-2030"</f>
        <v>2028-2030</v>
      </c>
    </row>
    <row r="72" spans="1:88" ht="11.25" customHeight="1">
      <c r="A72" s="45" t="str">
        <f>"24.59"</f>
        <v>24.59</v>
      </c>
      <c r="B72" s="46" t="str">
        <f>"г. Харовск, ул. Советская, д.23"</f>
        <v>г. Харовск, ул. Советская, д.23</v>
      </c>
      <c r="C72" s="6" t="str">
        <f>"1991"</f>
        <v>1991</v>
      </c>
      <c r="D72" s="4" t="str">
        <f>"1991"</f>
        <v>1991</v>
      </c>
      <c r="E72" s="4" t="str">
        <f>"20,00"</f>
        <v>20,00</v>
      </c>
      <c r="F72" s="4" t="str">
        <f>"2034-2036"</f>
        <v>2034-2036</v>
      </c>
      <c r="G72" s="4" t="str">
        <f t="shared" si="54"/>
        <v>нет</v>
      </c>
      <c r="H72" s="4" t="str">
        <f>""</f>
        <v/>
      </c>
      <c r="I72" s="4" t="str">
        <f>""</f>
        <v/>
      </c>
      <c r="J72" s="4" t="str">
        <f>""</f>
        <v/>
      </c>
      <c r="K72" s="4" t="str">
        <f t="shared" si="1"/>
        <v>нет</v>
      </c>
      <c r="L72" s="4" t="str">
        <f>""</f>
        <v/>
      </c>
      <c r="M72" s="4" t="str">
        <f>""</f>
        <v/>
      </c>
      <c r="N72" s="4" t="str">
        <f>""</f>
        <v/>
      </c>
      <c r="O72" s="7" t="str">
        <f>"1991"</f>
        <v>1991</v>
      </c>
      <c r="P72" s="4" t="str">
        <f>"20,00"</f>
        <v>20,00</v>
      </c>
      <c r="Q72" s="4" t="str">
        <f>"2034-2036"</f>
        <v>2034-2036</v>
      </c>
      <c r="R72" s="4" t="str">
        <f>"нет"</f>
        <v>нет</v>
      </c>
      <c r="S72" s="4" t="str">
        <f>""</f>
        <v/>
      </c>
      <c r="T72" s="4" t="str">
        <f>""</f>
        <v/>
      </c>
      <c r="U72" s="4" t="str">
        <f>""</f>
        <v/>
      </c>
      <c r="V72" s="4" t="str">
        <f>"нет"</f>
        <v>нет</v>
      </c>
      <c r="W72" s="4" t="str">
        <f>""</f>
        <v/>
      </c>
      <c r="X72" s="4" t="str">
        <f>""</f>
        <v/>
      </c>
      <c r="Y72" s="8" t="str">
        <f>""</f>
        <v/>
      </c>
      <c r="Z72" s="4" t="str">
        <f t="shared" si="63"/>
        <v>х</v>
      </c>
      <c r="AA72" s="4" t="str">
        <f t="shared" si="63"/>
        <v>х</v>
      </c>
      <c r="AB72" s="4" t="str">
        <f t="shared" si="63"/>
        <v>х</v>
      </c>
      <c r="AC72" s="4" t="str">
        <f t="shared" si="63"/>
        <v>х</v>
      </c>
      <c r="AD72" s="4" t="str">
        <f t="shared" si="63"/>
        <v>х</v>
      </c>
      <c r="AE72" s="4" t="str">
        <f t="shared" si="63"/>
        <v>х</v>
      </c>
      <c r="AF72" s="4" t="str">
        <f t="shared" si="63"/>
        <v>х</v>
      </c>
      <c r="AG72" s="4" t="str">
        <f t="shared" si="63"/>
        <v>х</v>
      </c>
      <c r="AH72" s="4" t="str">
        <f t="shared" si="63"/>
        <v>х</v>
      </c>
      <c r="AI72" s="4" t="str">
        <f t="shared" si="63"/>
        <v>х</v>
      </c>
      <c r="AJ72" s="4" t="str">
        <f t="shared" si="63"/>
        <v>х</v>
      </c>
      <c r="AK72" s="7" t="str">
        <f>"1991"</f>
        <v>1991</v>
      </c>
      <c r="AL72" s="4" t="str">
        <f>"20,00"</f>
        <v>20,00</v>
      </c>
      <c r="AM72" s="4" t="str">
        <f>"2034-2036"</f>
        <v>2034-2036</v>
      </c>
      <c r="AN72" s="4" t="str">
        <f>"да"</f>
        <v>да</v>
      </c>
      <c r="AO72" s="4" t="str">
        <f>"2013"</f>
        <v>2013</v>
      </c>
      <c r="AP72" s="4" t="str">
        <f>"0,00"</f>
        <v>0,00</v>
      </c>
      <c r="AQ72" s="4" t="str">
        <f>"2034-2036"</f>
        <v>2034-2036</v>
      </c>
      <c r="AR72" s="4" t="str">
        <f t="shared" si="64"/>
        <v>нет</v>
      </c>
      <c r="AS72" s="4" t="str">
        <f>""</f>
        <v/>
      </c>
      <c r="AT72" s="4" t="str">
        <f>""</f>
        <v/>
      </c>
      <c r="AU72" s="4" t="str">
        <f>""</f>
        <v/>
      </c>
      <c r="AV72" s="4" t="str">
        <f t="shared" si="65"/>
        <v>х</v>
      </c>
      <c r="AW72" s="4" t="str">
        <f t="shared" si="65"/>
        <v>х</v>
      </c>
      <c r="AX72" s="4" t="str">
        <f t="shared" si="65"/>
        <v>х</v>
      </c>
      <c r="AY72" s="4" t="str">
        <f t="shared" si="65"/>
        <v>х</v>
      </c>
      <c r="AZ72" s="4" t="str">
        <f t="shared" si="65"/>
        <v>х</v>
      </c>
      <c r="BA72" s="4" t="str">
        <f t="shared" si="65"/>
        <v>х</v>
      </c>
      <c r="BB72" s="4" t="str">
        <f t="shared" si="65"/>
        <v>х</v>
      </c>
      <c r="BC72" s="4" t="str">
        <f t="shared" si="65"/>
        <v>х</v>
      </c>
      <c r="BD72" s="4" t="str">
        <f t="shared" si="65"/>
        <v>х</v>
      </c>
      <c r="BE72" s="4" t="str">
        <f t="shared" si="65"/>
        <v>х</v>
      </c>
      <c r="BF72" s="4" t="str">
        <f t="shared" si="65"/>
        <v>х</v>
      </c>
      <c r="BG72" s="4" t="str">
        <f>"1991"</f>
        <v>1991</v>
      </c>
      <c r="BH72" s="4" t="str">
        <f>"20,00"</f>
        <v>20,00</v>
      </c>
      <c r="BI72" s="4" t="str">
        <f>"2034-2036"</f>
        <v>2034-2036</v>
      </c>
      <c r="BJ72" s="4" t="str">
        <f>"нет"</f>
        <v>нет</v>
      </c>
      <c r="BK72" s="4" t="str">
        <f>""</f>
        <v/>
      </c>
      <c r="BL72" s="4" t="str">
        <f>""</f>
        <v/>
      </c>
      <c r="BM72" s="4" t="str">
        <f>""</f>
        <v/>
      </c>
      <c r="BN72" s="4" t="str">
        <f>"нет"</f>
        <v>нет</v>
      </c>
      <c r="BO72" s="4" t="str">
        <f>""</f>
        <v/>
      </c>
      <c r="BP72" s="4" t="str">
        <f>""</f>
        <v/>
      </c>
      <c r="BQ72" s="4" t="str">
        <f>""</f>
        <v/>
      </c>
      <c r="BR72" s="4" t="str">
        <f>"1991"</f>
        <v>1991</v>
      </c>
      <c r="BS72" s="4" t="str">
        <f>"35,00"</f>
        <v>35,00</v>
      </c>
      <c r="BT72" s="4" t="str">
        <f>"2034-2036"</f>
        <v>2034-2036</v>
      </c>
      <c r="BU72" s="4" t="str">
        <f t="shared" si="5"/>
        <v>нет</v>
      </c>
      <c r="BV72" s="4" t="str">
        <f t="shared" si="52"/>
        <v>x</v>
      </c>
      <c r="BW72" s="4" t="str">
        <f t="shared" si="52"/>
        <v>x</v>
      </c>
      <c r="BX72" s="4" t="str">
        <f t="shared" si="52"/>
        <v>x</v>
      </c>
      <c r="BY72" s="4" t="str">
        <f t="shared" si="49"/>
        <v>нет</v>
      </c>
      <c r="BZ72" s="4" t="str">
        <f t="shared" si="53"/>
        <v>x</v>
      </c>
      <c r="CA72" s="4" t="str">
        <f t="shared" si="53"/>
        <v>x</v>
      </c>
      <c r="CB72" s="4" t="str">
        <f t="shared" si="53"/>
        <v>x</v>
      </c>
      <c r="CC72" s="4" t="str">
        <f>"1991"</f>
        <v>1991</v>
      </c>
      <c r="CD72" s="4" t="str">
        <f>"15,00"</f>
        <v>15,00</v>
      </c>
      <c r="CE72" s="4" t="str">
        <f>"2034-2036"</f>
        <v>2034-2036</v>
      </c>
      <c r="CF72" s="4" t="str">
        <f>"1991"</f>
        <v>1991</v>
      </c>
      <c r="CG72" s="4" t="str">
        <f>"10,00"</f>
        <v>10,00</v>
      </c>
      <c r="CH72" s="4" t="str">
        <f>"2034-2036"</f>
        <v>2034-2036</v>
      </c>
      <c r="CI72" s="4" t="str">
        <f>"20,00"</f>
        <v>20,00</v>
      </c>
      <c r="CJ72" s="4" t="str">
        <f>"2034-2036"</f>
        <v>2034-2036</v>
      </c>
    </row>
    <row r="73" spans="1:88" ht="11.25" customHeight="1">
      <c r="A73" s="45" t="str">
        <f>"24.60"</f>
        <v>24.60</v>
      </c>
      <c r="B73" s="46" t="str">
        <f>"г. Харовск, ул. Фестивальная, д.1"</f>
        <v>г. Харовск, ул. Фестивальная, д.1</v>
      </c>
      <c r="C73" s="6" t="str">
        <f>"1989"</f>
        <v>1989</v>
      </c>
      <c r="D73" s="4" t="str">
        <f>"2009"</f>
        <v>2009</v>
      </c>
      <c r="E73" s="4" t="str">
        <f>"25,00"</f>
        <v>25,00</v>
      </c>
      <c r="F73" s="4" t="str">
        <f>"2038-2040"</f>
        <v>2038-2040</v>
      </c>
      <c r="G73" s="4" t="str">
        <f t="shared" si="54"/>
        <v>нет</v>
      </c>
      <c r="H73" s="4" t="str">
        <f>""</f>
        <v/>
      </c>
      <c r="I73" s="4" t="str">
        <f>""</f>
        <v/>
      </c>
      <c r="J73" s="4" t="str">
        <f>""</f>
        <v/>
      </c>
      <c r="K73" s="4" t="str">
        <f t="shared" si="1"/>
        <v>нет</v>
      </c>
      <c r="L73" s="4" t="str">
        <f>""</f>
        <v/>
      </c>
      <c r="M73" s="4" t="str">
        <f>""</f>
        <v/>
      </c>
      <c r="N73" s="4" t="str">
        <f>""</f>
        <v/>
      </c>
      <c r="O73" s="7" t="str">
        <f t="shared" ref="O73:Z78" si="66">"х"</f>
        <v>х</v>
      </c>
      <c r="P73" s="4" t="str">
        <f t="shared" si="66"/>
        <v>х</v>
      </c>
      <c r="Q73" s="4" t="str">
        <f t="shared" si="66"/>
        <v>х</v>
      </c>
      <c r="R73" s="4" t="str">
        <f t="shared" si="66"/>
        <v>х</v>
      </c>
      <c r="S73" s="4" t="str">
        <f t="shared" si="66"/>
        <v>х</v>
      </c>
      <c r="T73" s="4" t="str">
        <f t="shared" si="66"/>
        <v>х</v>
      </c>
      <c r="U73" s="4" t="str">
        <f t="shared" si="66"/>
        <v>х</v>
      </c>
      <c r="V73" s="4" t="str">
        <f t="shared" si="66"/>
        <v>х</v>
      </c>
      <c r="W73" s="4" t="str">
        <f t="shared" si="66"/>
        <v>х</v>
      </c>
      <c r="X73" s="4" t="str">
        <f t="shared" si="66"/>
        <v>х</v>
      </c>
      <c r="Y73" s="8" t="str">
        <f t="shared" si="66"/>
        <v>х</v>
      </c>
      <c r="Z73" s="4" t="str">
        <f t="shared" si="66"/>
        <v>х</v>
      </c>
      <c r="AA73" s="4" t="str">
        <f>"0,00"</f>
        <v>0,00</v>
      </c>
      <c r="AB73" s="4" t="str">
        <f t="shared" ref="AB73:AJ78" si="67">"х"</f>
        <v>х</v>
      </c>
      <c r="AC73" s="4" t="str">
        <f t="shared" si="67"/>
        <v>х</v>
      </c>
      <c r="AD73" s="4" t="str">
        <f t="shared" si="67"/>
        <v>х</v>
      </c>
      <c r="AE73" s="4" t="str">
        <f t="shared" si="67"/>
        <v>х</v>
      </c>
      <c r="AF73" s="4" t="str">
        <f t="shared" si="67"/>
        <v>х</v>
      </c>
      <c r="AG73" s="4" t="str">
        <f t="shared" si="67"/>
        <v>х</v>
      </c>
      <c r="AH73" s="4" t="str">
        <f t="shared" si="67"/>
        <v>х</v>
      </c>
      <c r="AI73" s="4" t="str">
        <f t="shared" si="67"/>
        <v>х</v>
      </c>
      <c r="AJ73" s="4" t="str">
        <f t="shared" si="67"/>
        <v>х</v>
      </c>
      <c r="AK73" s="7" t="str">
        <f>"2009"</f>
        <v>2009</v>
      </c>
      <c r="AL73" s="4" t="str">
        <f>"25,00"</f>
        <v>25,00</v>
      </c>
      <c r="AM73" s="4" t="str">
        <f>"2038-2040"</f>
        <v>2038-2040</v>
      </c>
      <c r="AN73" s="4" t="str">
        <f>"да"</f>
        <v>да</v>
      </c>
      <c r="AO73" s="4" t="str">
        <f>"2009"</f>
        <v>2009</v>
      </c>
      <c r="AP73" s="4" t="str">
        <f>"66,00"</f>
        <v>66,00</v>
      </c>
      <c r="AQ73" s="4" t="str">
        <f>"2038-2040"</f>
        <v>2038-2040</v>
      </c>
      <c r="AR73" s="4" t="str">
        <f t="shared" si="64"/>
        <v>нет</v>
      </c>
      <c r="AS73" s="4" t="str">
        <f>""</f>
        <v/>
      </c>
      <c r="AT73" s="4" t="str">
        <f>""</f>
        <v/>
      </c>
      <c r="AU73" s="4" t="str">
        <f>""</f>
        <v/>
      </c>
      <c r="AV73" s="4" t="str">
        <f t="shared" si="65"/>
        <v>х</v>
      </c>
      <c r="AW73" s="4" t="str">
        <f t="shared" si="65"/>
        <v>х</v>
      </c>
      <c r="AX73" s="4" t="str">
        <f t="shared" si="65"/>
        <v>х</v>
      </c>
      <c r="AY73" s="4" t="str">
        <f t="shared" si="65"/>
        <v>х</v>
      </c>
      <c r="AZ73" s="4" t="str">
        <f t="shared" si="65"/>
        <v>х</v>
      </c>
      <c r="BA73" s="4" t="str">
        <f t="shared" si="65"/>
        <v>х</v>
      </c>
      <c r="BB73" s="4" t="str">
        <f t="shared" si="65"/>
        <v>х</v>
      </c>
      <c r="BC73" s="4" t="str">
        <f t="shared" si="65"/>
        <v>х</v>
      </c>
      <c r="BD73" s="4" t="str">
        <f t="shared" si="65"/>
        <v>х</v>
      </c>
      <c r="BE73" s="4" t="str">
        <f t="shared" si="65"/>
        <v>х</v>
      </c>
      <c r="BF73" s="4" t="str">
        <f t="shared" si="65"/>
        <v>х</v>
      </c>
      <c r="BG73" s="4" t="str">
        <f t="shared" ref="BG73:BQ78" si="68">"х"</f>
        <v>х</v>
      </c>
      <c r="BH73" s="4" t="str">
        <f t="shared" si="68"/>
        <v>х</v>
      </c>
      <c r="BI73" s="4" t="str">
        <f t="shared" si="68"/>
        <v>х</v>
      </c>
      <c r="BJ73" s="4" t="str">
        <f t="shared" si="68"/>
        <v>х</v>
      </c>
      <c r="BK73" s="4" t="str">
        <f t="shared" si="68"/>
        <v>х</v>
      </c>
      <c r="BL73" s="4" t="str">
        <f t="shared" si="68"/>
        <v>х</v>
      </c>
      <c r="BM73" s="4" t="str">
        <f t="shared" si="68"/>
        <v>х</v>
      </c>
      <c r="BN73" s="4" t="str">
        <f t="shared" si="68"/>
        <v>х</v>
      </c>
      <c r="BO73" s="4" t="str">
        <f t="shared" si="68"/>
        <v>х</v>
      </c>
      <c r="BP73" s="4" t="str">
        <f t="shared" si="68"/>
        <v>х</v>
      </c>
      <c r="BQ73" s="4" t="str">
        <f t="shared" si="68"/>
        <v>х</v>
      </c>
      <c r="BR73" s="4" t="str">
        <f>"1989"</f>
        <v>1989</v>
      </c>
      <c r="BS73" s="4" t="str">
        <f>"30,00"</f>
        <v>30,00</v>
      </c>
      <c r="BT73" s="4" t="str">
        <f>"2038-2040"</f>
        <v>2038-2040</v>
      </c>
      <c r="BU73" s="4" t="str">
        <f t="shared" si="5"/>
        <v>нет</v>
      </c>
      <c r="BV73" s="4" t="str">
        <f t="shared" si="52"/>
        <v>x</v>
      </c>
      <c r="BW73" s="4" t="str">
        <f t="shared" si="52"/>
        <v>x</v>
      </c>
      <c r="BX73" s="4" t="str">
        <f t="shared" si="52"/>
        <v>x</v>
      </c>
      <c r="BY73" s="4" t="str">
        <f t="shared" si="49"/>
        <v>нет</v>
      </c>
      <c r="BZ73" s="4" t="str">
        <f t="shared" si="53"/>
        <v>x</v>
      </c>
      <c r="CA73" s="4" t="str">
        <f t="shared" si="53"/>
        <v>x</v>
      </c>
      <c r="CB73" s="4" t="str">
        <f t="shared" si="53"/>
        <v>x</v>
      </c>
      <c r="CC73" s="4" t="str">
        <f>"2009"</f>
        <v>2009</v>
      </c>
      <c r="CD73" s="4" t="str">
        <f>"25,00"</f>
        <v>25,00</v>
      </c>
      <c r="CE73" s="4" t="str">
        <f>"2038-2040"</f>
        <v>2038-2040</v>
      </c>
      <c r="CF73" s="4" t="str">
        <f>"1989"</f>
        <v>1989</v>
      </c>
      <c r="CG73" s="4" t="str">
        <f>"15,00"</f>
        <v>15,00</v>
      </c>
      <c r="CH73" s="4" t="str">
        <f>"2038-2040"</f>
        <v>2038-2040</v>
      </c>
      <c r="CI73" s="4" t="str">
        <f>"25,00"</f>
        <v>25,00</v>
      </c>
      <c r="CJ73" s="4" t="str">
        <f>"2038-2040"</f>
        <v>2038-2040</v>
      </c>
    </row>
    <row r="74" spans="1:88" ht="11.25" customHeight="1">
      <c r="A74" s="45" t="str">
        <f>"24.61"</f>
        <v>24.61</v>
      </c>
      <c r="B74" s="46" t="str">
        <f>"г. Харовск, ул. Фестивальная, д.10"</f>
        <v>г. Харовск, ул. Фестивальная, д.10</v>
      </c>
      <c r="C74" s="6" t="str">
        <f>"1982"</f>
        <v>1982</v>
      </c>
      <c r="D74" s="4" t="str">
        <f>"1982"</f>
        <v>1982</v>
      </c>
      <c r="E74" s="4" t="str">
        <f>"50,00"</f>
        <v>50,00</v>
      </c>
      <c r="F74" s="4" t="str">
        <f>"2029-2031"</f>
        <v>2029-2031</v>
      </c>
      <c r="G74" s="4" t="str">
        <f t="shared" si="54"/>
        <v>нет</v>
      </c>
      <c r="H74" s="4" t="str">
        <f>""</f>
        <v/>
      </c>
      <c r="I74" s="4" t="str">
        <f>""</f>
        <v/>
      </c>
      <c r="J74" s="4" t="str">
        <f>""</f>
        <v/>
      </c>
      <c r="K74" s="4" t="str">
        <f t="shared" si="1"/>
        <v>нет</v>
      </c>
      <c r="L74" s="4" t="str">
        <f>""</f>
        <v/>
      </c>
      <c r="M74" s="4" t="str">
        <f>""</f>
        <v/>
      </c>
      <c r="N74" s="4" t="str">
        <f>""</f>
        <v/>
      </c>
      <c r="O74" s="7" t="str">
        <f t="shared" si="66"/>
        <v>х</v>
      </c>
      <c r="P74" s="4" t="str">
        <f t="shared" si="66"/>
        <v>х</v>
      </c>
      <c r="Q74" s="4" t="str">
        <f t="shared" si="66"/>
        <v>х</v>
      </c>
      <c r="R74" s="4" t="str">
        <f t="shared" si="66"/>
        <v>х</v>
      </c>
      <c r="S74" s="4" t="str">
        <f t="shared" si="66"/>
        <v>х</v>
      </c>
      <c r="T74" s="4" t="str">
        <f t="shared" si="66"/>
        <v>х</v>
      </c>
      <c r="U74" s="4" t="str">
        <f t="shared" si="66"/>
        <v>х</v>
      </c>
      <c r="V74" s="4" t="str">
        <f t="shared" si="66"/>
        <v>х</v>
      </c>
      <c r="W74" s="4" t="str">
        <f t="shared" si="66"/>
        <v>х</v>
      </c>
      <c r="X74" s="4" t="str">
        <f t="shared" si="66"/>
        <v>х</v>
      </c>
      <c r="Y74" s="8" t="str">
        <f t="shared" si="66"/>
        <v>х</v>
      </c>
      <c r="Z74" s="4" t="str">
        <f t="shared" si="66"/>
        <v>х</v>
      </c>
      <c r="AA74" s="4" t="str">
        <f>"х"</f>
        <v>х</v>
      </c>
      <c r="AB74" s="4" t="str">
        <f t="shared" si="67"/>
        <v>х</v>
      </c>
      <c r="AC74" s="4" t="str">
        <f t="shared" si="67"/>
        <v>х</v>
      </c>
      <c r="AD74" s="4" t="str">
        <f t="shared" si="67"/>
        <v>х</v>
      </c>
      <c r="AE74" s="4" t="str">
        <f t="shared" si="67"/>
        <v>х</v>
      </c>
      <c r="AF74" s="4" t="str">
        <f t="shared" si="67"/>
        <v>х</v>
      </c>
      <c r="AG74" s="4" t="str">
        <f t="shared" si="67"/>
        <v>х</v>
      </c>
      <c r="AH74" s="4" t="str">
        <f t="shared" si="67"/>
        <v>х</v>
      </c>
      <c r="AI74" s="4" t="str">
        <f t="shared" si="67"/>
        <v>х</v>
      </c>
      <c r="AJ74" s="4" t="str">
        <f t="shared" si="67"/>
        <v>х</v>
      </c>
      <c r="AK74" s="7" t="str">
        <f t="shared" ref="AK74:AU78" si="69">"х"</f>
        <v>х</v>
      </c>
      <c r="AL74" s="4" t="str">
        <f t="shared" si="69"/>
        <v>х</v>
      </c>
      <c r="AM74" s="4" t="str">
        <f t="shared" si="69"/>
        <v>х</v>
      </c>
      <c r="AN74" s="4" t="str">
        <f t="shared" si="69"/>
        <v>х</v>
      </c>
      <c r="AO74" s="4" t="str">
        <f t="shared" si="69"/>
        <v>х</v>
      </c>
      <c r="AP74" s="4" t="str">
        <f t="shared" si="69"/>
        <v>х</v>
      </c>
      <c r="AQ74" s="4" t="str">
        <f t="shared" si="69"/>
        <v>х</v>
      </c>
      <c r="AR74" s="4" t="str">
        <f t="shared" si="69"/>
        <v>х</v>
      </c>
      <c r="AS74" s="4" t="str">
        <f t="shared" si="69"/>
        <v>х</v>
      </c>
      <c r="AT74" s="4" t="str">
        <f t="shared" si="69"/>
        <v>х</v>
      </c>
      <c r="AU74" s="4" t="str">
        <f t="shared" si="69"/>
        <v>х</v>
      </c>
      <c r="AV74" s="4" t="str">
        <f t="shared" si="65"/>
        <v>х</v>
      </c>
      <c r="AW74" s="4" t="str">
        <f t="shared" si="65"/>
        <v>х</v>
      </c>
      <c r="AX74" s="4" t="str">
        <f t="shared" si="65"/>
        <v>х</v>
      </c>
      <c r="AY74" s="4" t="str">
        <f t="shared" si="65"/>
        <v>х</v>
      </c>
      <c r="AZ74" s="4" t="str">
        <f t="shared" si="65"/>
        <v>х</v>
      </c>
      <c r="BA74" s="4" t="str">
        <f t="shared" si="65"/>
        <v>х</v>
      </c>
      <c r="BB74" s="4" t="str">
        <f t="shared" si="65"/>
        <v>х</v>
      </c>
      <c r="BC74" s="4" t="str">
        <f t="shared" si="65"/>
        <v>х</v>
      </c>
      <c r="BD74" s="4" t="str">
        <f t="shared" si="65"/>
        <v>х</v>
      </c>
      <c r="BE74" s="4" t="str">
        <f t="shared" si="65"/>
        <v>х</v>
      </c>
      <c r="BF74" s="4" t="str">
        <f t="shared" si="65"/>
        <v>х</v>
      </c>
      <c r="BG74" s="4" t="str">
        <f t="shared" si="68"/>
        <v>х</v>
      </c>
      <c r="BH74" s="4" t="str">
        <f t="shared" si="68"/>
        <v>х</v>
      </c>
      <c r="BI74" s="4" t="str">
        <f t="shared" si="68"/>
        <v>х</v>
      </c>
      <c r="BJ74" s="4" t="str">
        <f t="shared" si="68"/>
        <v>х</v>
      </c>
      <c r="BK74" s="4" t="str">
        <f t="shared" si="68"/>
        <v>х</v>
      </c>
      <c r="BL74" s="4" t="str">
        <f t="shared" si="68"/>
        <v>х</v>
      </c>
      <c r="BM74" s="4" t="str">
        <f t="shared" si="68"/>
        <v>х</v>
      </c>
      <c r="BN74" s="4" t="str">
        <f t="shared" si="68"/>
        <v>х</v>
      </c>
      <c r="BO74" s="4" t="str">
        <f t="shared" si="68"/>
        <v>х</v>
      </c>
      <c r="BP74" s="4" t="str">
        <f t="shared" si="68"/>
        <v>х</v>
      </c>
      <c r="BQ74" s="4" t="str">
        <f t="shared" si="68"/>
        <v>х</v>
      </c>
      <c r="BR74" s="4" t="str">
        <f>"1982"</f>
        <v>1982</v>
      </c>
      <c r="BS74" s="4" t="str">
        <f>"40,00"</f>
        <v>40,00</v>
      </c>
      <c r="BT74" s="4" t="str">
        <f>"2029-2031"</f>
        <v>2029-2031</v>
      </c>
      <c r="BU74" s="4" t="str">
        <f t="shared" si="5"/>
        <v>нет</v>
      </c>
      <c r="BV74" s="4" t="str">
        <f t="shared" ref="BV74:BX93" si="70">"x"</f>
        <v>x</v>
      </c>
      <c r="BW74" s="4" t="str">
        <f t="shared" si="70"/>
        <v>x</v>
      </c>
      <c r="BX74" s="4" t="str">
        <f t="shared" si="70"/>
        <v>x</v>
      </c>
      <c r="BY74" s="4" t="str">
        <f t="shared" si="49"/>
        <v>нет</v>
      </c>
      <c r="BZ74" s="4" t="str">
        <f t="shared" ref="BZ74:CB93" si="71">"x"</f>
        <v>x</v>
      </c>
      <c r="CA74" s="4" t="str">
        <f t="shared" si="71"/>
        <v>x</v>
      </c>
      <c r="CB74" s="4" t="str">
        <f t="shared" si="71"/>
        <v>x</v>
      </c>
      <c r="CC74" s="4" t="str">
        <f>"1982"</f>
        <v>1982</v>
      </c>
      <c r="CD74" s="4" t="str">
        <f>"40,00"</f>
        <v>40,00</v>
      </c>
      <c r="CE74" s="4" t="str">
        <f>"2029-2031"</f>
        <v>2029-2031</v>
      </c>
      <c r="CF74" s="4" t="str">
        <f>"1982"</f>
        <v>1982</v>
      </c>
      <c r="CG74" s="4" t="str">
        <f>"30,00"</f>
        <v>30,00</v>
      </c>
      <c r="CH74" s="4" t="str">
        <f>"2029-2031"</f>
        <v>2029-2031</v>
      </c>
      <c r="CI74" s="4" t="str">
        <f>"40,00"</f>
        <v>40,00</v>
      </c>
      <c r="CJ74" s="4" t="str">
        <f>"2029-2031"</f>
        <v>2029-2031</v>
      </c>
    </row>
    <row r="75" spans="1:88" ht="11.25" customHeight="1">
      <c r="A75" s="45" t="str">
        <f>"24.62"</f>
        <v>24.62</v>
      </c>
      <c r="B75" s="46" t="str">
        <f>"г. Харовск, ул. Фестивальная, д.2"</f>
        <v>г. Харовск, ул. Фестивальная, д.2</v>
      </c>
      <c r="C75" s="6" t="str">
        <f>"1986"</f>
        <v>1986</v>
      </c>
      <c r="D75" s="4" t="str">
        <f>"1986"</f>
        <v>1986</v>
      </c>
      <c r="E75" s="4" t="str">
        <f>"50,00"</f>
        <v>50,00</v>
      </c>
      <c r="F75" s="4" t="str">
        <f>"2031-2033"</f>
        <v>2031-2033</v>
      </c>
      <c r="G75" s="4" t="str">
        <f t="shared" si="54"/>
        <v>нет</v>
      </c>
      <c r="H75" s="4" t="str">
        <f>""</f>
        <v/>
      </c>
      <c r="I75" s="4" t="str">
        <f>""</f>
        <v/>
      </c>
      <c r="J75" s="4" t="str">
        <f>""</f>
        <v/>
      </c>
      <c r="K75" s="4" t="str">
        <f t="shared" si="1"/>
        <v>нет</v>
      </c>
      <c r="L75" s="4" t="str">
        <f>""</f>
        <v/>
      </c>
      <c r="M75" s="4" t="str">
        <f>""</f>
        <v/>
      </c>
      <c r="N75" s="4" t="str">
        <f>""</f>
        <v/>
      </c>
      <c r="O75" s="7" t="str">
        <f t="shared" si="66"/>
        <v>х</v>
      </c>
      <c r="P75" s="4" t="str">
        <f t="shared" si="66"/>
        <v>х</v>
      </c>
      <c r="Q75" s="4" t="str">
        <f t="shared" si="66"/>
        <v>х</v>
      </c>
      <c r="R75" s="4" t="str">
        <f t="shared" si="66"/>
        <v>х</v>
      </c>
      <c r="S75" s="4" t="str">
        <f t="shared" si="66"/>
        <v>х</v>
      </c>
      <c r="T75" s="4" t="str">
        <f t="shared" si="66"/>
        <v>х</v>
      </c>
      <c r="U75" s="4" t="str">
        <f t="shared" si="66"/>
        <v>х</v>
      </c>
      <c r="V75" s="4" t="str">
        <f t="shared" si="66"/>
        <v>х</v>
      </c>
      <c r="W75" s="4" t="str">
        <f t="shared" si="66"/>
        <v>х</v>
      </c>
      <c r="X75" s="4" t="str">
        <f t="shared" si="66"/>
        <v>х</v>
      </c>
      <c r="Y75" s="8" t="str">
        <f t="shared" si="66"/>
        <v>х</v>
      </c>
      <c r="Z75" s="4" t="str">
        <f t="shared" si="66"/>
        <v>х</v>
      </c>
      <c r="AA75" s="4" t="str">
        <f>"х"</f>
        <v>х</v>
      </c>
      <c r="AB75" s="4" t="str">
        <f t="shared" si="67"/>
        <v>х</v>
      </c>
      <c r="AC75" s="4" t="str">
        <f t="shared" si="67"/>
        <v>х</v>
      </c>
      <c r="AD75" s="4" t="str">
        <f t="shared" si="67"/>
        <v>х</v>
      </c>
      <c r="AE75" s="4" t="str">
        <f t="shared" si="67"/>
        <v>х</v>
      </c>
      <c r="AF75" s="4" t="str">
        <f t="shared" si="67"/>
        <v>х</v>
      </c>
      <c r="AG75" s="4" t="str">
        <f t="shared" si="67"/>
        <v>х</v>
      </c>
      <c r="AH75" s="4" t="str">
        <f t="shared" si="67"/>
        <v>х</v>
      </c>
      <c r="AI75" s="4" t="str">
        <f t="shared" si="67"/>
        <v>х</v>
      </c>
      <c r="AJ75" s="4" t="str">
        <f t="shared" si="67"/>
        <v>х</v>
      </c>
      <c r="AK75" s="7" t="str">
        <f t="shared" si="69"/>
        <v>х</v>
      </c>
      <c r="AL75" s="4" t="str">
        <f t="shared" si="69"/>
        <v>х</v>
      </c>
      <c r="AM75" s="4" t="str">
        <f t="shared" si="69"/>
        <v>х</v>
      </c>
      <c r="AN75" s="4" t="str">
        <f t="shared" si="69"/>
        <v>х</v>
      </c>
      <c r="AO75" s="4" t="str">
        <f t="shared" si="69"/>
        <v>х</v>
      </c>
      <c r="AP75" s="4" t="str">
        <f t="shared" si="69"/>
        <v>х</v>
      </c>
      <c r="AQ75" s="4" t="str">
        <f t="shared" si="69"/>
        <v>х</v>
      </c>
      <c r="AR75" s="4" t="str">
        <f t="shared" si="69"/>
        <v>х</v>
      </c>
      <c r="AS75" s="4" t="str">
        <f t="shared" si="69"/>
        <v>х</v>
      </c>
      <c r="AT75" s="4" t="str">
        <f t="shared" si="69"/>
        <v>х</v>
      </c>
      <c r="AU75" s="4" t="str">
        <f t="shared" si="69"/>
        <v>х</v>
      </c>
      <c r="AV75" s="4" t="str">
        <f t="shared" si="65"/>
        <v>х</v>
      </c>
      <c r="AW75" s="4" t="str">
        <f t="shared" si="65"/>
        <v>х</v>
      </c>
      <c r="AX75" s="4" t="str">
        <f t="shared" si="65"/>
        <v>х</v>
      </c>
      <c r="AY75" s="4" t="str">
        <f t="shared" si="65"/>
        <v>х</v>
      </c>
      <c r="AZ75" s="4" t="str">
        <f t="shared" si="65"/>
        <v>х</v>
      </c>
      <c r="BA75" s="4" t="str">
        <f t="shared" si="65"/>
        <v>х</v>
      </c>
      <c r="BB75" s="4" t="str">
        <f t="shared" si="65"/>
        <v>х</v>
      </c>
      <c r="BC75" s="4" t="str">
        <f t="shared" si="65"/>
        <v>х</v>
      </c>
      <c r="BD75" s="4" t="str">
        <f t="shared" si="65"/>
        <v>х</v>
      </c>
      <c r="BE75" s="4" t="str">
        <f t="shared" si="65"/>
        <v>х</v>
      </c>
      <c r="BF75" s="4" t="str">
        <f t="shared" si="65"/>
        <v>х</v>
      </c>
      <c r="BG75" s="4" t="str">
        <f t="shared" si="68"/>
        <v>х</v>
      </c>
      <c r="BH75" s="4" t="str">
        <f t="shared" si="68"/>
        <v>х</v>
      </c>
      <c r="BI75" s="4" t="str">
        <f t="shared" si="68"/>
        <v>х</v>
      </c>
      <c r="BJ75" s="4" t="str">
        <f t="shared" si="68"/>
        <v>х</v>
      </c>
      <c r="BK75" s="4" t="str">
        <f t="shared" si="68"/>
        <v>х</v>
      </c>
      <c r="BL75" s="4" t="str">
        <f t="shared" si="68"/>
        <v>х</v>
      </c>
      <c r="BM75" s="4" t="str">
        <f t="shared" si="68"/>
        <v>х</v>
      </c>
      <c r="BN75" s="4" t="str">
        <f t="shared" si="68"/>
        <v>х</v>
      </c>
      <c r="BO75" s="4" t="str">
        <f t="shared" si="68"/>
        <v>х</v>
      </c>
      <c r="BP75" s="4" t="str">
        <f t="shared" si="68"/>
        <v>х</v>
      </c>
      <c r="BQ75" s="4" t="str">
        <f t="shared" si="68"/>
        <v>х</v>
      </c>
      <c r="BR75" s="4" t="str">
        <f>"1986"</f>
        <v>1986</v>
      </c>
      <c r="BS75" s="4" t="str">
        <f>"40,00"</f>
        <v>40,00</v>
      </c>
      <c r="BT75" s="4" t="str">
        <f>"2031-2033"</f>
        <v>2031-2033</v>
      </c>
      <c r="BU75" s="4" t="str">
        <f t="shared" si="5"/>
        <v>нет</v>
      </c>
      <c r="BV75" s="4" t="str">
        <f t="shared" si="70"/>
        <v>x</v>
      </c>
      <c r="BW75" s="4" t="str">
        <f t="shared" si="70"/>
        <v>x</v>
      </c>
      <c r="BX75" s="4" t="str">
        <f t="shared" si="70"/>
        <v>x</v>
      </c>
      <c r="BY75" s="4" t="str">
        <f t="shared" si="49"/>
        <v>нет</v>
      </c>
      <c r="BZ75" s="4" t="str">
        <f t="shared" si="71"/>
        <v>x</v>
      </c>
      <c r="CA75" s="4" t="str">
        <f t="shared" si="71"/>
        <v>x</v>
      </c>
      <c r="CB75" s="4" t="str">
        <f t="shared" si="71"/>
        <v>x</v>
      </c>
      <c r="CC75" s="4" t="str">
        <f>"1986"</f>
        <v>1986</v>
      </c>
      <c r="CD75" s="4" t="str">
        <f>"30,00"</f>
        <v>30,00</v>
      </c>
      <c r="CE75" s="4" t="str">
        <f>"2031-2033"</f>
        <v>2031-2033</v>
      </c>
      <c r="CF75" s="4" t="str">
        <f>"1986"</f>
        <v>1986</v>
      </c>
      <c r="CG75" s="4" t="str">
        <f>"20,00"</f>
        <v>20,00</v>
      </c>
      <c r="CH75" s="4" t="str">
        <f>"2031-2033"</f>
        <v>2031-2033</v>
      </c>
      <c r="CI75" s="4" t="str">
        <f>"34,00"</f>
        <v>34,00</v>
      </c>
      <c r="CJ75" s="4" t="str">
        <f>"2031-2033"</f>
        <v>2031-2033</v>
      </c>
    </row>
    <row r="76" spans="1:88" ht="11.25" customHeight="1">
      <c r="A76" s="45" t="str">
        <f>"24.63"</f>
        <v>24.63</v>
      </c>
      <c r="B76" s="46" t="str">
        <f>"г. Харовск, ул. Фестивальная, д.4"</f>
        <v>г. Харовск, ул. Фестивальная, д.4</v>
      </c>
      <c r="C76" s="6" t="str">
        <f>"1986"</f>
        <v>1986</v>
      </c>
      <c r="D76" s="4" t="str">
        <f>"1986"</f>
        <v>1986</v>
      </c>
      <c r="E76" s="4" t="str">
        <f>"50,00"</f>
        <v>50,00</v>
      </c>
      <c r="F76" s="4" t="str">
        <f>"2031-2033"</f>
        <v>2031-2033</v>
      </c>
      <c r="G76" s="4" t="str">
        <f t="shared" si="54"/>
        <v>нет</v>
      </c>
      <c r="H76" s="4" t="str">
        <f>""</f>
        <v/>
      </c>
      <c r="I76" s="4" t="str">
        <f>""</f>
        <v/>
      </c>
      <c r="J76" s="4" t="str">
        <f>""</f>
        <v/>
      </c>
      <c r="K76" s="4" t="str">
        <f t="shared" si="1"/>
        <v>нет</v>
      </c>
      <c r="L76" s="4" t="str">
        <f>""</f>
        <v/>
      </c>
      <c r="M76" s="4" t="str">
        <f>""</f>
        <v/>
      </c>
      <c r="N76" s="4" t="str">
        <f>""</f>
        <v/>
      </c>
      <c r="O76" s="7" t="str">
        <f t="shared" si="66"/>
        <v>х</v>
      </c>
      <c r="P76" s="4" t="str">
        <f t="shared" si="66"/>
        <v>х</v>
      </c>
      <c r="Q76" s="4" t="str">
        <f t="shared" si="66"/>
        <v>х</v>
      </c>
      <c r="R76" s="4" t="str">
        <f t="shared" si="66"/>
        <v>х</v>
      </c>
      <c r="S76" s="4" t="str">
        <f t="shared" si="66"/>
        <v>х</v>
      </c>
      <c r="T76" s="4" t="str">
        <f t="shared" si="66"/>
        <v>х</v>
      </c>
      <c r="U76" s="4" t="str">
        <f t="shared" si="66"/>
        <v>х</v>
      </c>
      <c r="V76" s="4" t="str">
        <f t="shared" si="66"/>
        <v>х</v>
      </c>
      <c r="W76" s="4" t="str">
        <f t="shared" si="66"/>
        <v>х</v>
      </c>
      <c r="X76" s="4" t="str">
        <f t="shared" si="66"/>
        <v>х</v>
      </c>
      <c r="Y76" s="8" t="str">
        <f t="shared" si="66"/>
        <v>х</v>
      </c>
      <c r="Z76" s="4" t="str">
        <f t="shared" si="66"/>
        <v>х</v>
      </c>
      <c r="AA76" s="4" t="str">
        <f>"х"</f>
        <v>х</v>
      </c>
      <c r="AB76" s="4" t="str">
        <f t="shared" si="67"/>
        <v>х</v>
      </c>
      <c r="AC76" s="4" t="str">
        <f t="shared" si="67"/>
        <v>х</v>
      </c>
      <c r="AD76" s="4" t="str">
        <f t="shared" si="67"/>
        <v>х</v>
      </c>
      <c r="AE76" s="4" t="str">
        <f t="shared" si="67"/>
        <v>х</v>
      </c>
      <c r="AF76" s="4" t="str">
        <f t="shared" si="67"/>
        <v>х</v>
      </c>
      <c r="AG76" s="4" t="str">
        <f t="shared" si="67"/>
        <v>х</v>
      </c>
      <c r="AH76" s="4" t="str">
        <f t="shared" si="67"/>
        <v>х</v>
      </c>
      <c r="AI76" s="4" t="str">
        <f t="shared" si="67"/>
        <v>х</v>
      </c>
      <c r="AJ76" s="4" t="str">
        <f t="shared" si="67"/>
        <v>х</v>
      </c>
      <c r="AK76" s="7" t="str">
        <f t="shared" si="69"/>
        <v>х</v>
      </c>
      <c r="AL76" s="4" t="str">
        <f t="shared" si="69"/>
        <v>х</v>
      </c>
      <c r="AM76" s="4" t="str">
        <f t="shared" si="69"/>
        <v>х</v>
      </c>
      <c r="AN76" s="4" t="str">
        <f t="shared" si="69"/>
        <v>х</v>
      </c>
      <c r="AO76" s="4" t="str">
        <f t="shared" si="69"/>
        <v>х</v>
      </c>
      <c r="AP76" s="4" t="str">
        <f t="shared" si="69"/>
        <v>х</v>
      </c>
      <c r="AQ76" s="4" t="str">
        <f t="shared" si="69"/>
        <v>х</v>
      </c>
      <c r="AR76" s="4" t="str">
        <f t="shared" si="69"/>
        <v>х</v>
      </c>
      <c r="AS76" s="4" t="str">
        <f t="shared" si="69"/>
        <v>х</v>
      </c>
      <c r="AT76" s="4" t="str">
        <f t="shared" si="69"/>
        <v>х</v>
      </c>
      <c r="AU76" s="4" t="str">
        <f t="shared" si="69"/>
        <v>х</v>
      </c>
      <c r="AV76" s="4" t="str">
        <f t="shared" si="65"/>
        <v>х</v>
      </c>
      <c r="AW76" s="4" t="str">
        <f t="shared" si="65"/>
        <v>х</v>
      </c>
      <c r="AX76" s="4" t="str">
        <f t="shared" si="65"/>
        <v>х</v>
      </c>
      <c r="AY76" s="4" t="str">
        <f t="shared" si="65"/>
        <v>х</v>
      </c>
      <c r="AZ76" s="4" t="str">
        <f t="shared" si="65"/>
        <v>х</v>
      </c>
      <c r="BA76" s="4" t="str">
        <f t="shared" si="65"/>
        <v>х</v>
      </c>
      <c r="BB76" s="4" t="str">
        <f t="shared" si="65"/>
        <v>х</v>
      </c>
      <c r="BC76" s="4" t="str">
        <f t="shared" si="65"/>
        <v>х</v>
      </c>
      <c r="BD76" s="4" t="str">
        <f t="shared" si="65"/>
        <v>х</v>
      </c>
      <c r="BE76" s="4" t="str">
        <f t="shared" si="65"/>
        <v>х</v>
      </c>
      <c r="BF76" s="4" t="str">
        <f t="shared" si="65"/>
        <v>х</v>
      </c>
      <c r="BG76" s="4" t="str">
        <f t="shared" si="68"/>
        <v>х</v>
      </c>
      <c r="BH76" s="4" t="str">
        <f t="shared" si="68"/>
        <v>х</v>
      </c>
      <c r="BI76" s="4" t="str">
        <f t="shared" si="68"/>
        <v>х</v>
      </c>
      <c r="BJ76" s="4" t="str">
        <f t="shared" si="68"/>
        <v>х</v>
      </c>
      <c r="BK76" s="4" t="str">
        <f t="shared" si="68"/>
        <v>х</v>
      </c>
      <c r="BL76" s="4" t="str">
        <f t="shared" si="68"/>
        <v>х</v>
      </c>
      <c r="BM76" s="4" t="str">
        <f t="shared" si="68"/>
        <v>х</v>
      </c>
      <c r="BN76" s="4" t="str">
        <f t="shared" si="68"/>
        <v>х</v>
      </c>
      <c r="BO76" s="4" t="str">
        <f t="shared" si="68"/>
        <v>х</v>
      </c>
      <c r="BP76" s="4" t="str">
        <f t="shared" si="68"/>
        <v>х</v>
      </c>
      <c r="BQ76" s="4" t="str">
        <f t="shared" si="68"/>
        <v>х</v>
      </c>
      <c r="BR76" s="4" t="str">
        <f>"1986"</f>
        <v>1986</v>
      </c>
      <c r="BS76" s="4" t="str">
        <f>"40,00"</f>
        <v>40,00</v>
      </c>
      <c r="BT76" s="4" t="str">
        <f>"2031-2033"</f>
        <v>2031-2033</v>
      </c>
      <c r="BU76" s="4" t="str">
        <f t="shared" si="5"/>
        <v>нет</v>
      </c>
      <c r="BV76" s="4" t="str">
        <f t="shared" si="70"/>
        <v>x</v>
      </c>
      <c r="BW76" s="4" t="str">
        <f t="shared" si="70"/>
        <v>x</v>
      </c>
      <c r="BX76" s="4" t="str">
        <f t="shared" si="70"/>
        <v>x</v>
      </c>
      <c r="BY76" s="4" t="str">
        <f t="shared" si="49"/>
        <v>нет</v>
      </c>
      <c r="BZ76" s="4" t="str">
        <f t="shared" si="71"/>
        <v>x</v>
      </c>
      <c r="CA76" s="4" t="str">
        <f t="shared" si="71"/>
        <v>x</v>
      </c>
      <c r="CB76" s="4" t="str">
        <f t="shared" si="71"/>
        <v>x</v>
      </c>
      <c r="CC76" s="4" t="str">
        <f>"1986"</f>
        <v>1986</v>
      </c>
      <c r="CD76" s="4" t="str">
        <f>"30,00"</f>
        <v>30,00</v>
      </c>
      <c r="CE76" s="4" t="str">
        <f>"2031-2033"</f>
        <v>2031-2033</v>
      </c>
      <c r="CF76" s="4" t="str">
        <f>"1986"</f>
        <v>1986</v>
      </c>
      <c r="CG76" s="4" t="str">
        <f>"20,00"</f>
        <v>20,00</v>
      </c>
      <c r="CH76" s="4" t="str">
        <f>"2031-2033"</f>
        <v>2031-2033</v>
      </c>
      <c r="CI76" s="4" t="str">
        <f>"35,00"</f>
        <v>35,00</v>
      </c>
      <c r="CJ76" s="4" t="str">
        <f>"2031-2033"</f>
        <v>2031-2033</v>
      </c>
    </row>
    <row r="77" spans="1:88" ht="11.25" customHeight="1">
      <c r="A77" s="45" t="str">
        <f>"24.64"</f>
        <v>24.64</v>
      </c>
      <c r="B77" s="46" t="str">
        <f>"г. Харовск, ул. Фестивальная, д.6"</f>
        <v>г. Харовск, ул. Фестивальная, д.6</v>
      </c>
      <c r="C77" s="6" t="str">
        <f>"1984"</f>
        <v>1984</v>
      </c>
      <c r="D77" s="4" t="str">
        <f>"1984"</f>
        <v>1984</v>
      </c>
      <c r="E77" s="4" t="str">
        <f>"45,00"</f>
        <v>45,00</v>
      </c>
      <c r="F77" s="4" t="str">
        <f>"2030-2032"</f>
        <v>2030-2032</v>
      </c>
      <c r="G77" s="4" t="str">
        <f t="shared" si="54"/>
        <v>нет</v>
      </c>
      <c r="H77" s="4" t="str">
        <f>""</f>
        <v/>
      </c>
      <c r="I77" s="4" t="str">
        <f>""</f>
        <v/>
      </c>
      <c r="J77" s="4" t="str">
        <f>""</f>
        <v/>
      </c>
      <c r="K77" s="4" t="str">
        <f t="shared" si="1"/>
        <v>нет</v>
      </c>
      <c r="L77" s="4" t="str">
        <f>""</f>
        <v/>
      </c>
      <c r="M77" s="4" t="str">
        <f>""</f>
        <v/>
      </c>
      <c r="N77" s="4" t="str">
        <f>""</f>
        <v/>
      </c>
      <c r="O77" s="7" t="str">
        <f t="shared" si="66"/>
        <v>х</v>
      </c>
      <c r="P77" s="4" t="str">
        <f t="shared" si="66"/>
        <v>х</v>
      </c>
      <c r="Q77" s="4" t="str">
        <f t="shared" si="66"/>
        <v>х</v>
      </c>
      <c r="R77" s="4" t="str">
        <f t="shared" si="66"/>
        <v>х</v>
      </c>
      <c r="S77" s="4" t="str">
        <f t="shared" si="66"/>
        <v>х</v>
      </c>
      <c r="T77" s="4" t="str">
        <f t="shared" si="66"/>
        <v>х</v>
      </c>
      <c r="U77" s="4" t="str">
        <f t="shared" si="66"/>
        <v>х</v>
      </c>
      <c r="V77" s="4" t="str">
        <f t="shared" si="66"/>
        <v>х</v>
      </c>
      <c r="W77" s="4" t="str">
        <f t="shared" si="66"/>
        <v>х</v>
      </c>
      <c r="X77" s="4" t="str">
        <f t="shared" si="66"/>
        <v>х</v>
      </c>
      <c r="Y77" s="8" t="str">
        <f t="shared" si="66"/>
        <v>х</v>
      </c>
      <c r="Z77" s="4" t="str">
        <f t="shared" si="66"/>
        <v>х</v>
      </c>
      <c r="AA77" s="4" t="str">
        <f>"х"</f>
        <v>х</v>
      </c>
      <c r="AB77" s="4" t="str">
        <f t="shared" si="67"/>
        <v>х</v>
      </c>
      <c r="AC77" s="4" t="str">
        <f t="shared" si="67"/>
        <v>х</v>
      </c>
      <c r="AD77" s="4" t="str">
        <f t="shared" si="67"/>
        <v>х</v>
      </c>
      <c r="AE77" s="4" t="str">
        <f t="shared" si="67"/>
        <v>х</v>
      </c>
      <c r="AF77" s="4" t="str">
        <f t="shared" si="67"/>
        <v>х</v>
      </c>
      <c r="AG77" s="4" t="str">
        <f t="shared" si="67"/>
        <v>х</v>
      </c>
      <c r="AH77" s="4" t="str">
        <f t="shared" si="67"/>
        <v>х</v>
      </c>
      <c r="AI77" s="4" t="str">
        <f t="shared" si="67"/>
        <v>х</v>
      </c>
      <c r="AJ77" s="4" t="str">
        <f t="shared" si="67"/>
        <v>х</v>
      </c>
      <c r="AK77" s="7" t="str">
        <f t="shared" si="69"/>
        <v>х</v>
      </c>
      <c r="AL77" s="4" t="str">
        <f t="shared" si="69"/>
        <v>х</v>
      </c>
      <c r="AM77" s="4" t="str">
        <f t="shared" si="69"/>
        <v>х</v>
      </c>
      <c r="AN77" s="4" t="str">
        <f t="shared" si="69"/>
        <v>х</v>
      </c>
      <c r="AO77" s="4" t="str">
        <f t="shared" si="69"/>
        <v>х</v>
      </c>
      <c r="AP77" s="4" t="str">
        <f t="shared" si="69"/>
        <v>х</v>
      </c>
      <c r="AQ77" s="4" t="str">
        <f t="shared" si="69"/>
        <v>х</v>
      </c>
      <c r="AR77" s="4" t="str">
        <f t="shared" si="69"/>
        <v>х</v>
      </c>
      <c r="AS77" s="4" t="str">
        <f t="shared" si="69"/>
        <v>х</v>
      </c>
      <c r="AT77" s="4" t="str">
        <f t="shared" si="69"/>
        <v>х</v>
      </c>
      <c r="AU77" s="4" t="str">
        <f t="shared" si="69"/>
        <v>х</v>
      </c>
      <c r="AV77" s="4" t="str">
        <f t="shared" si="65"/>
        <v>х</v>
      </c>
      <c r="AW77" s="4" t="str">
        <f t="shared" si="65"/>
        <v>х</v>
      </c>
      <c r="AX77" s="4" t="str">
        <f t="shared" si="65"/>
        <v>х</v>
      </c>
      <c r="AY77" s="4" t="str">
        <f t="shared" si="65"/>
        <v>х</v>
      </c>
      <c r="AZ77" s="4" t="str">
        <f t="shared" si="65"/>
        <v>х</v>
      </c>
      <c r="BA77" s="4" t="str">
        <f t="shared" si="65"/>
        <v>х</v>
      </c>
      <c r="BB77" s="4" t="str">
        <f t="shared" si="65"/>
        <v>х</v>
      </c>
      <c r="BC77" s="4" t="str">
        <f t="shared" si="65"/>
        <v>х</v>
      </c>
      <c r="BD77" s="4" t="str">
        <f t="shared" si="65"/>
        <v>х</v>
      </c>
      <c r="BE77" s="4" t="str">
        <f t="shared" si="65"/>
        <v>х</v>
      </c>
      <c r="BF77" s="4" t="str">
        <f t="shared" si="65"/>
        <v>х</v>
      </c>
      <c r="BG77" s="4" t="str">
        <f t="shared" si="68"/>
        <v>х</v>
      </c>
      <c r="BH77" s="4" t="str">
        <f t="shared" si="68"/>
        <v>х</v>
      </c>
      <c r="BI77" s="4" t="str">
        <f t="shared" si="68"/>
        <v>х</v>
      </c>
      <c r="BJ77" s="4" t="str">
        <f t="shared" si="68"/>
        <v>х</v>
      </c>
      <c r="BK77" s="4" t="str">
        <f t="shared" si="68"/>
        <v>х</v>
      </c>
      <c r="BL77" s="4" t="str">
        <f t="shared" si="68"/>
        <v>х</v>
      </c>
      <c r="BM77" s="4" t="str">
        <f t="shared" si="68"/>
        <v>х</v>
      </c>
      <c r="BN77" s="4" t="str">
        <f t="shared" si="68"/>
        <v>х</v>
      </c>
      <c r="BO77" s="4" t="str">
        <f t="shared" si="68"/>
        <v>х</v>
      </c>
      <c r="BP77" s="4" t="str">
        <f t="shared" si="68"/>
        <v>х</v>
      </c>
      <c r="BQ77" s="4" t="str">
        <f t="shared" si="68"/>
        <v>х</v>
      </c>
      <c r="BR77" s="4" t="str">
        <f>"1984"</f>
        <v>1984</v>
      </c>
      <c r="BS77" s="4" t="str">
        <f>"45,00"</f>
        <v>45,00</v>
      </c>
      <c r="BT77" s="4" t="str">
        <f>"2030-2032"</f>
        <v>2030-2032</v>
      </c>
      <c r="BU77" s="4" t="str">
        <f t="shared" si="5"/>
        <v>нет</v>
      </c>
      <c r="BV77" s="4" t="str">
        <f t="shared" si="70"/>
        <v>x</v>
      </c>
      <c r="BW77" s="4" t="str">
        <f t="shared" si="70"/>
        <v>x</v>
      </c>
      <c r="BX77" s="4" t="str">
        <f t="shared" si="70"/>
        <v>x</v>
      </c>
      <c r="BY77" s="4" t="str">
        <f t="shared" si="49"/>
        <v>нет</v>
      </c>
      <c r="BZ77" s="4" t="str">
        <f t="shared" si="71"/>
        <v>x</v>
      </c>
      <c r="CA77" s="4" t="str">
        <f t="shared" si="71"/>
        <v>x</v>
      </c>
      <c r="CB77" s="4" t="str">
        <f t="shared" si="71"/>
        <v>x</v>
      </c>
      <c r="CC77" s="4" t="str">
        <f>"1984"</f>
        <v>1984</v>
      </c>
      <c r="CD77" s="4" t="str">
        <f>"45,00"</f>
        <v>45,00</v>
      </c>
      <c r="CE77" s="4" t="str">
        <f>"2030-2032"</f>
        <v>2030-2032</v>
      </c>
      <c r="CF77" s="4" t="str">
        <f>"1984"</f>
        <v>1984</v>
      </c>
      <c r="CG77" s="4" t="str">
        <f>"30,00"</f>
        <v>30,00</v>
      </c>
      <c r="CH77" s="4" t="str">
        <f>"2030-2032"</f>
        <v>2030-2032</v>
      </c>
      <c r="CI77" s="4" t="str">
        <f>"42,00"</f>
        <v>42,00</v>
      </c>
      <c r="CJ77" s="4" t="str">
        <f>"2030-2032"</f>
        <v>2030-2032</v>
      </c>
    </row>
    <row r="78" spans="1:88" ht="11.25" customHeight="1">
      <c r="A78" s="45" t="str">
        <f>"24.65"</f>
        <v>24.65</v>
      </c>
      <c r="B78" s="46" t="str">
        <f>"г. Харовск, ул. Фестивальная, д.8"</f>
        <v>г. Харовск, ул. Фестивальная, д.8</v>
      </c>
      <c r="C78" s="6" t="str">
        <f>"1983"</f>
        <v>1983</v>
      </c>
      <c r="D78" s="4" t="str">
        <f>"1983"</f>
        <v>1983</v>
      </c>
      <c r="E78" s="4" t="str">
        <f>"50,00"</f>
        <v>50,00</v>
      </c>
      <c r="F78" s="4" t="str">
        <f>"2029-2031"</f>
        <v>2029-2031</v>
      </c>
      <c r="G78" s="4" t="str">
        <f t="shared" si="54"/>
        <v>нет</v>
      </c>
      <c r="H78" s="4" t="str">
        <f>""</f>
        <v/>
      </c>
      <c r="I78" s="4" t="str">
        <f>""</f>
        <v/>
      </c>
      <c r="J78" s="4" t="str">
        <f>""</f>
        <v/>
      </c>
      <c r="K78" s="4" t="str">
        <f t="shared" ref="K78:K141" si="72">"нет"</f>
        <v>нет</v>
      </c>
      <c r="L78" s="4" t="str">
        <f>""</f>
        <v/>
      </c>
      <c r="M78" s="4" t="str">
        <f>""</f>
        <v/>
      </c>
      <c r="N78" s="4" t="str">
        <f>""</f>
        <v/>
      </c>
      <c r="O78" s="7" t="str">
        <f t="shared" si="66"/>
        <v>х</v>
      </c>
      <c r="P78" s="4" t="str">
        <f t="shared" si="66"/>
        <v>х</v>
      </c>
      <c r="Q78" s="4" t="str">
        <f t="shared" si="66"/>
        <v>х</v>
      </c>
      <c r="R78" s="4" t="str">
        <f t="shared" si="66"/>
        <v>х</v>
      </c>
      <c r="S78" s="4" t="str">
        <f t="shared" si="66"/>
        <v>х</v>
      </c>
      <c r="T78" s="4" t="str">
        <f t="shared" si="66"/>
        <v>х</v>
      </c>
      <c r="U78" s="4" t="str">
        <f t="shared" si="66"/>
        <v>х</v>
      </c>
      <c r="V78" s="4" t="str">
        <f t="shared" si="66"/>
        <v>х</v>
      </c>
      <c r="W78" s="4" t="str">
        <f t="shared" si="66"/>
        <v>х</v>
      </c>
      <c r="X78" s="4" t="str">
        <f t="shared" si="66"/>
        <v>х</v>
      </c>
      <c r="Y78" s="8" t="str">
        <f t="shared" si="66"/>
        <v>х</v>
      </c>
      <c r="Z78" s="4" t="str">
        <f t="shared" si="66"/>
        <v>х</v>
      </c>
      <c r="AA78" s="4" t="str">
        <f>"х"</f>
        <v>х</v>
      </c>
      <c r="AB78" s="4" t="str">
        <f t="shared" si="67"/>
        <v>х</v>
      </c>
      <c r="AC78" s="4" t="str">
        <f t="shared" si="67"/>
        <v>х</v>
      </c>
      <c r="AD78" s="4" t="str">
        <f t="shared" si="67"/>
        <v>х</v>
      </c>
      <c r="AE78" s="4" t="str">
        <f t="shared" si="67"/>
        <v>х</v>
      </c>
      <c r="AF78" s="4" t="str">
        <f t="shared" si="67"/>
        <v>х</v>
      </c>
      <c r="AG78" s="4" t="str">
        <f t="shared" si="67"/>
        <v>х</v>
      </c>
      <c r="AH78" s="4" t="str">
        <f t="shared" si="67"/>
        <v>х</v>
      </c>
      <c r="AI78" s="4" t="str">
        <f t="shared" si="67"/>
        <v>х</v>
      </c>
      <c r="AJ78" s="4" t="str">
        <f t="shared" si="67"/>
        <v>х</v>
      </c>
      <c r="AK78" s="7" t="str">
        <f t="shared" si="69"/>
        <v>х</v>
      </c>
      <c r="AL78" s="4" t="str">
        <f t="shared" si="69"/>
        <v>х</v>
      </c>
      <c r="AM78" s="4" t="str">
        <f t="shared" si="69"/>
        <v>х</v>
      </c>
      <c r="AN78" s="4" t="str">
        <f t="shared" si="69"/>
        <v>х</v>
      </c>
      <c r="AO78" s="4" t="str">
        <f t="shared" si="69"/>
        <v>х</v>
      </c>
      <c r="AP78" s="4" t="str">
        <f t="shared" si="69"/>
        <v>х</v>
      </c>
      <c r="AQ78" s="4" t="str">
        <f t="shared" si="69"/>
        <v>х</v>
      </c>
      <c r="AR78" s="4" t="str">
        <f t="shared" si="69"/>
        <v>х</v>
      </c>
      <c r="AS78" s="4" t="str">
        <f t="shared" si="69"/>
        <v>х</v>
      </c>
      <c r="AT78" s="4" t="str">
        <f t="shared" si="69"/>
        <v>х</v>
      </c>
      <c r="AU78" s="4" t="str">
        <f t="shared" si="69"/>
        <v>х</v>
      </c>
      <c r="AV78" s="4" t="str">
        <f t="shared" si="65"/>
        <v>х</v>
      </c>
      <c r="AW78" s="4" t="str">
        <f t="shared" si="65"/>
        <v>х</v>
      </c>
      <c r="AX78" s="4" t="str">
        <f t="shared" si="65"/>
        <v>х</v>
      </c>
      <c r="AY78" s="4" t="str">
        <f t="shared" si="65"/>
        <v>х</v>
      </c>
      <c r="AZ78" s="4" t="str">
        <f t="shared" si="65"/>
        <v>х</v>
      </c>
      <c r="BA78" s="4" t="str">
        <f t="shared" si="65"/>
        <v>х</v>
      </c>
      <c r="BB78" s="4" t="str">
        <f t="shared" si="65"/>
        <v>х</v>
      </c>
      <c r="BC78" s="4" t="str">
        <f t="shared" si="65"/>
        <v>х</v>
      </c>
      <c r="BD78" s="4" t="str">
        <f t="shared" si="65"/>
        <v>х</v>
      </c>
      <c r="BE78" s="4" t="str">
        <f t="shared" si="65"/>
        <v>х</v>
      </c>
      <c r="BF78" s="4" t="str">
        <f t="shared" si="65"/>
        <v>х</v>
      </c>
      <c r="BG78" s="4" t="str">
        <f t="shared" si="68"/>
        <v>х</v>
      </c>
      <c r="BH78" s="4" t="str">
        <f t="shared" si="68"/>
        <v>х</v>
      </c>
      <c r="BI78" s="4" t="str">
        <f t="shared" si="68"/>
        <v>х</v>
      </c>
      <c r="BJ78" s="4" t="str">
        <f t="shared" si="68"/>
        <v>х</v>
      </c>
      <c r="BK78" s="4" t="str">
        <f t="shared" si="68"/>
        <v>х</v>
      </c>
      <c r="BL78" s="4" t="str">
        <f t="shared" si="68"/>
        <v>х</v>
      </c>
      <c r="BM78" s="4" t="str">
        <f t="shared" si="68"/>
        <v>х</v>
      </c>
      <c r="BN78" s="4" t="str">
        <f t="shared" si="68"/>
        <v>х</v>
      </c>
      <c r="BO78" s="4" t="str">
        <f t="shared" si="68"/>
        <v>х</v>
      </c>
      <c r="BP78" s="4" t="str">
        <f t="shared" si="68"/>
        <v>х</v>
      </c>
      <c r="BQ78" s="4" t="str">
        <f t="shared" si="68"/>
        <v>х</v>
      </c>
      <c r="BR78" s="4" t="str">
        <f>"1983"</f>
        <v>1983</v>
      </c>
      <c r="BS78" s="4" t="str">
        <f>"40,00"</f>
        <v>40,00</v>
      </c>
      <c r="BT78" s="4" t="str">
        <f>"2029-2031"</f>
        <v>2029-2031</v>
      </c>
      <c r="BU78" s="4" t="str">
        <f t="shared" ref="BU78:BU141" si="73">"нет"</f>
        <v>нет</v>
      </c>
      <c r="BV78" s="4" t="str">
        <f t="shared" si="70"/>
        <v>x</v>
      </c>
      <c r="BW78" s="4" t="str">
        <f t="shared" si="70"/>
        <v>x</v>
      </c>
      <c r="BX78" s="4" t="str">
        <f t="shared" si="70"/>
        <v>x</v>
      </c>
      <c r="BY78" s="4" t="str">
        <f t="shared" ref="BY78:BY109" si="74">"нет"</f>
        <v>нет</v>
      </c>
      <c r="BZ78" s="4" t="str">
        <f t="shared" si="71"/>
        <v>x</v>
      </c>
      <c r="CA78" s="4" t="str">
        <f t="shared" si="71"/>
        <v>x</v>
      </c>
      <c r="CB78" s="4" t="str">
        <f t="shared" si="71"/>
        <v>x</v>
      </c>
      <c r="CC78" s="4" t="str">
        <f>"1983"</f>
        <v>1983</v>
      </c>
      <c r="CD78" s="4" t="str">
        <f>"35,00"</f>
        <v>35,00</v>
      </c>
      <c r="CE78" s="4" t="str">
        <f>"2029-2031"</f>
        <v>2029-2031</v>
      </c>
      <c r="CF78" s="4" t="str">
        <f>"1983"</f>
        <v>1983</v>
      </c>
      <c r="CG78" s="4" t="str">
        <f>"20,00"</f>
        <v>20,00</v>
      </c>
      <c r="CH78" s="4" t="str">
        <f>"2029-2031"</f>
        <v>2029-2031</v>
      </c>
      <c r="CI78" s="4" t="str">
        <f>"39,00"</f>
        <v>39,00</v>
      </c>
      <c r="CJ78" s="4" t="str">
        <f>"2029-2031"</f>
        <v>2029-2031</v>
      </c>
    </row>
    <row r="79" spans="1:88" ht="11.25" customHeight="1">
      <c r="A79" s="45" t="str">
        <f>"24.66"</f>
        <v>24.66</v>
      </c>
      <c r="B79" s="46" t="str">
        <f>"г. Харовск, ул. Школьная, д.6"</f>
        <v>г. Харовск, ул. Школьная, д.6</v>
      </c>
      <c r="C79" s="6" t="str">
        <f>"1963"</f>
        <v>1963</v>
      </c>
      <c r="D79" s="4" t="str">
        <f>"1963"</f>
        <v>1963</v>
      </c>
      <c r="E79" s="4" t="str">
        <f>"55,00"</f>
        <v>55,00</v>
      </c>
      <c r="F79" s="4" t="str">
        <f>"2021-2023"</f>
        <v>2021-2023</v>
      </c>
      <c r="G79" s="4" t="str">
        <f t="shared" si="54"/>
        <v>нет</v>
      </c>
      <c r="H79" s="4" t="str">
        <f>""</f>
        <v/>
      </c>
      <c r="I79" s="4" t="str">
        <f>""</f>
        <v/>
      </c>
      <c r="J79" s="4" t="str">
        <f>""</f>
        <v/>
      </c>
      <c r="K79" s="4" t="str">
        <f t="shared" si="72"/>
        <v>нет</v>
      </c>
      <c r="L79" s="4" t="str">
        <f>""</f>
        <v/>
      </c>
      <c r="M79" s="4" t="str">
        <f>""</f>
        <v/>
      </c>
      <c r="N79" s="4" t="str">
        <f>""</f>
        <v/>
      </c>
      <c r="O79" s="7" t="str">
        <f>"1963"</f>
        <v>1963</v>
      </c>
      <c r="P79" s="4" t="str">
        <f>"55,00"</f>
        <v>55,00</v>
      </c>
      <c r="Q79" s="4" t="str">
        <f>"2021-2023"</f>
        <v>2021-2023</v>
      </c>
      <c r="R79" s="4" t="str">
        <f>"нет"</f>
        <v>нет</v>
      </c>
      <c r="S79" s="4" t="str">
        <f>""</f>
        <v/>
      </c>
      <c r="T79" s="4" t="str">
        <f>""</f>
        <v/>
      </c>
      <c r="U79" s="4" t="str">
        <f>""</f>
        <v/>
      </c>
      <c r="V79" s="4" t="str">
        <f t="shared" ref="V79:V90" si="75">"нет"</f>
        <v>нет</v>
      </c>
      <c r="W79" s="4" t="str">
        <f>""</f>
        <v/>
      </c>
      <c r="X79" s="4" t="str">
        <f>""</f>
        <v/>
      </c>
      <c r="Y79" s="8" t="str">
        <f>""</f>
        <v/>
      </c>
      <c r="Z79" s="4" t="str">
        <f>""</f>
        <v/>
      </c>
      <c r="AA79" s="4" t="str">
        <f>""</f>
        <v/>
      </c>
      <c r="AB79" s="4" t="str">
        <f>""</f>
        <v/>
      </c>
      <c r="AC79" s="4" t="str">
        <f>""</f>
        <v/>
      </c>
      <c r="AD79" s="4" t="str">
        <f>""</f>
        <v/>
      </c>
      <c r="AE79" s="4" t="str">
        <f>""</f>
        <v/>
      </c>
      <c r="AF79" s="4" t="str">
        <f>""</f>
        <v/>
      </c>
      <c r="AG79" s="4" t="str">
        <f>""</f>
        <v/>
      </c>
      <c r="AH79" s="4" t="str">
        <f>""</f>
        <v/>
      </c>
      <c r="AI79" s="4" t="str">
        <f>""</f>
        <v/>
      </c>
      <c r="AJ79" s="4" t="str">
        <f>""</f>
        <v/>
      </c>
      <c r="AK79" s="7" t="str">
        <f>"1963"</f>
        <v>1963</v>
      </c>
      <c r="AL79" s="4" t="str">
        <f>"55,00"</f>
        <v>55,00</v>
      </c>
      <c r="AM79" s="4" t="str">
        <f>"2034-2036"</f>
        <v>2034-2036</v>
      </c>
      <c r="AN79" s="4" t="str">
        <f>"нет"</f>
        <v>нет</v>
      </c>
      <c r="AO79" s="4" t="str">
        <f>""</f>
        <v/>
      </c>
      <c r="AP79" s="4" t="str">
        <f>""</f>
        <v/>
      </c>
      <c r="AQ79" s="4" t="str">
        <f>""</f>
        <v/>
      </c>
      <c r="AR79" s="4" t="str">
        <f t="shared" ref="AR79:AR90" si="76">"нет"</f>
        <v>нет</v>
      </c>
      <c r="AS79" s="4" t="str">
        <f>""</f>
        <v/>
      </c>
      <c r="AT79" s="4" t="str">
        <f>""</f>
        <v/>
      </c>
      <c r="AU79" s="4" t="str">
        <f>""</f>
        <v/>
      </c>
      <c r="AV79" s="4" t="str">
        <f>"1963"</f>
        <v>1963</v>
      </c>
      <c r="AW79" s="4" t="str">
        <f>"55,00"</f>
        <v>55,00</v>
      </c>
      <c r="AX79" s="4" t="str">
        <f>"2034-2036"</f>
        <v>2034-2036</v>
      </c>
      <c r="AY79" s="4" t="str">
        <f>"нет"</f>
        <v>нет</v>
      </c>
      <c r="AZ79" s="4" t="str">
        <f>""</f>
        <v/>
      </c>
      <c r="BA79" s="4" t="str">
        <f>""</f>
        <v/>
      </c>
      <c r="BB79" s="4" t="str">
        <f>""</f>
        <v/>
      </c>
      <c r="BC79" s="4" t="str">
        <f>"нет"</f>
        <v>нет</v>
      </c>
      <c r="BD79" s="4" t="str">
        <f>""</f>
        <v/>
      </c>
      <c r="BE79" s="4" t="str">
        <f>""</f>
        <v/>
      </c>
      <c r="BF79" s="4" t="str">
        <f>""</f>
        <v/>
      </c>
      <c r="BG79" s="4" t="str">
        <f>"1963"</f>
        <v>1963</v>
      </c>
      <c r="BH79" s="4" t="str">
        <f>"55,00"</f>
        <v>55,00</v>
      </c>
      <c r="BI79" s="4" t="str">
        <f>"2034-2036"</f>
        <v>2034-2036</v>
      </c>
      <c r="BJ79" s="4" t="str">
        <f t="shared" ref="BJ79:BJ90" si="77">"нет"</f>
        <v>нет</v>
      </c>
      <c r="BK79" s="4" t="str">
        <f>""</f>
        <v/>
      </c>
      <c r="BL79" s="4" t="str">
        <f>""</f>
        <v/>
      </c>
      <c r="BM79" s="4" t="str">
        <f>""</f>
        <v/>
      </c>
      <c r="BN79" s="4" t="str">
        <f t="shared" ref="BN79:BN90" si="78">"нет"</f>
        <v>нет</v>
      </c>
      <c r="BO79" s="4" t="str">
        <f>""</f>
        <v/>
      </c>
      <c r="BP79" s="4" t="str">
        <f>""</f>
        <v/>
      </c>
      <c r="BQ79" s="4" t="str">
        <f>""</f>
        <v/>
      </c>
      <c r="BR79" s="4" t="str">
        <f>"1963"</f>
        <v>1963</v>
      </c>
      <c r="BS79" s="4" t="str">
        <f>"50,00"</f>
        <v>50,00</v>
      </c>
      <c r="BT79" s="4" t="str">
        <f>"2021-2023"</f>
        <v>2021-2023</v>
      </c>
      <c r="BU79" s="4" t="str">
        <f t="shared" si="73"/>
        <v>нет</v>
      </c>
      <c r="BV79" s="4" t="str">
        <f t="shared" si="70"/>
        <v>x</v>
      </c>
      <c r="BW79" s="4" t="str">
        <f t="shared" si="70"/>
        <v>x</v>
      </c>
      <c r="BX79" s="4" t="str">
        <f t="shared" si="70"/>
        <v>x</v>
      </c>
      <c r="BY79" s="4" t="str">
        <f t="shared" si="74"/>
        <v>нет</v>
      </c>
      <c r="BZ79" s="4" t="str">
        <f t="shared" si="71"/>
        <v>x</v>
      </c>
      <c r="CA79" s="4" t="str">
        <f t="shared" si="71"/>
        <v>x</v>
      </c>
      <c r="CB79" s="4" t="str">
        <f t="shared" si="71"/>
        <v>x</v>
      </c>
      <c r="CC79" s="4" t="str">
        <f>"1963"</f>
        <v>1963</v>
      </c>
      <c r="CD79" s="4" t="str">
        <f>"50,00"</f>
        <v>50,00</v>
      </c>
      <c r="CE79" s="4" t="str">
        <f>"2021-2023"</f>
        <v>2021-2023</v>
      </c>
      <c r="CF79" s="4" t="str">
        <f>"1963"</f>
        <v>1963</v>
      </c>
      <c r="CG79" s="4" t="str">
        <f>"50,00"</f>
        <v>50,00</v>
      </c>
      <c r="CH79" s="4" t="str">
        <f>"2034-2036"</f>
        <v>2034-2036</v>
      </c>
      <c r="CI79" s="4" t="str">
        <f>"55,00"</f>
        <v>55,00</v>
      </c>
      <c r="CJ79" s="4" t="str">
        <f>"2021-2023"</f>
        <v>2021-2023</v>
      </c>
    </row>
    <row r="80" spans="1:88" ht="11.25" customHeight="1">
      <c r="A80" s="45" t="str">
        <f>"24.67"</f>
        <v>24.67</v>
      </c>
      <c r="B80" s="46" t="str">
        <f>"г. Харовск, ул. Энергетиков, д.12"</f>
        <v>г. Харовск, ул. Энергетиков, д.12</v>
      </c>
      <c r="C80" s="6" t="str">
        <f>"1957"</f>
        <v>1957</v>
      </c>
      <c r="D80" s="4" t="str">
        <f>"1957"</f>
        <v>1957</v>
      </c>
      <c r="E80" s="4" t="str">
        <f>"50,00"</f>
        <v>50,00</v>
      </c>
      <c r="F80" s="4" t="str">
        <f>"2038-2040"</f>
        <v>2038-2040</v>
      </c>
      <c r="G80" s="4" t="str">
        <f t="shared" si="54"/>
        <v>нет</v>
      </c>
      <c r="H80" s="4" t="str">
        <f>""</f>
        <v/>
      </c>
      <c r="I80" s="4" t="str">
        <f>""</f>
        <v/>
      </c>
      <c r="J80" s="4" t="str">
        <f>""</f>
        <v/>
      </c>
      <c r="K80" s="4" t="str">
        <f t="shared" si="72"/>
        <v>нет</v>
      </c>
      <c r="L80" s="4" t="str">
        <f>""</f>
        <v/>
      </c>
      <c r="M80" s="4" t="str">
        <f>""</f>
        <v/>
      </c>
      <c r="N80" s="4" t="str">
        <f>""</f>
        <v/>
      </c>
      <c r="O80" s="7" t="str">
        <f>"2010"</f>
        <v>2010</v>
      </c>
      <c r="P80" s="4" t="str">
        <f>"0,00"</f>
        <v>0,00</v>
      </c>
      <c r="Q80" s="4" t="str">
        <f>"2038-2040"</f>
        <v>2038-2040</v>
      </c>
      <c r="R80" s="4" t="str">
        <f>"да"</f>
        <v>да</v>
      </c>
      <c r="S80" s="4" t="str">
        <f>"2010"</f>
        <v>2010</v>
      </c>
      <c r="T80" s="4" t="str">
        <f>"75,00"</f>
        <v>75,00</v>
      </c>
      <c r="U80" s="4" t="str">
        <f>"2038-2040"</f>
        <v>2038-2040</v>
      </c>
      <c r="V80" s="4" t="str">
        <f t="shared" si="75"/>
        <v>нет</v>
      </c>
      <c r="W80" s="4" t="str">
        <f>""</f>
        <v/>
      </c>
      <c r="X80" s="4" t="str">
        <f>""</f>
        <v/>
      </c>
      <c r="Y80" s="8" t="str">
        <f>""</f>
        <v/>
      </c>
      <c r="Z80" s="4" t="str">
        <f t="shared" ref="Z80:AJ81" si="79">"х"</f>
        <v>х</v>
      </c>
      <c r="AA80" s="4" t="str">
        <f t="shared" si="79"/>
        <v>х</v>
      </c>
      <c r="AB80" s="4" t="str">
        <f t="shared" si="79"/>
        <v>х</v>
      </c>
      <c r="AC80" s="4" t="str">
        <f t="shared" si="79"/>
        <v>х</v>
      </c>
      <c r="AD80" s="4" t="str">
        <f t="shared" si="79"/>
        <v>х</v>
      </c>
      <c r="AE80" s="4" t="str">
        <f t="shared" si="79"/>
        <v>х</v>
      </c>
      <c r="AF80" s="4" t="str">
        <f t="shared" si="79"/>
        <v>х</v>
      </c>
      <c r="AG80" s="4" t="str">
        <f t="shared" si="79"/>
        <v>х</v>
      </c>
      <c r="AH80" s="4" t="str">
        <f t="shared" si="79"/>
        <v>х</v>
      </c>
      <c r="AI80" s="4" t="str">
        <f t="shared" si="79"/>
        <v>х</v>
      </c>
      <c r="AJ80" s="4" t="str">
        <f t="shared" si="79"/>
        <v>х</v>
      </c>
      <c r="AK80" s="7" t="str">
        <f>"2010"</f>
        <v>2010</v>
      </c>
      <c r="AL80" s="4" t="str">
        <f>"0,00"</f>
        <v>0,00</v>
      </c>
      <c r="AM80" s="4" t="str">
        <f>"2038-2040"</f>
        <v>2038-2040</v>
      </c>
      <c r="AN80" s="4" t="str">
        <f t="shared" ref="AN80:AN86" si="80">"да"</f>
        <v>да</v>
      </c>
      <c r="AO80" s="4" t="str">
        <f>"2010"</f>
        <v>2010</v>
      </c>
      <c r="AP80" s="4" t="str">
        <f>"50,00"</f>
        <v>50,00</v>
      </c>
      <c r="AQ80" s="4" t="str">
        <f>"2038-2040"</f>
        <v>2038-2040</v>
      </c>
      <c r="AR80" s="4" t="str">
        <f t="shared" si="76"/>
        <v>нет</v>
      </c>
      <c r="AS80" s="4" t="str">
        <f>""</f>
        <v/>
      </c>
      <c r="AT80" s="4" t="str">
        <f>""</f>
        <v/>
      </c>
      <c r="AU80" s="4" t="str">
        <f>""</f>
        <v/>
      </c>
      <c r="AV80" s="4" t="str">
        <f t="shared" ref="AV80:BF80" si="81">"х"</f>
        <v>х</v>
      </c>
      <c r="AW80" s="4" t="str">
        <f t="shared" si="81"/>
        <v>х</v>
      </c>
      <c r="AX80" s="4" t="str">
        <f t="shared" si="81"/>
        <v>х</v>
      </c>
      <c r="AY80" s="4" t="str">
        <f t="shared" si="81"/>
        <v>х</v>
      </c>
      <c r="AZ80" s="4" t="str">
        <f t="shared" si="81"/>
        <v>х</v>
      </c>
      <c r="BA80" s="4" t="str">
        <f t="shared" si="81"/>
        <v>х</v>
      </c>
      <c r="BB80" s="4" t="str">
        <f t="shared" si="81"/>
        <v>х</v>
      </c>
      <c r="BC80" s="4" t="str">
        <f t="shared" si="81"/>
        <v>х</v>
      </c>
      <c r="BD80" s="4" t="str">
        <f t="shared" si="81"/>
        <v>х</v>
      </c>
      <c r="BE80" s="4" t="str">
        <f t="shared" si="81"/>
        <v>х</v>
      </c>
      <c r="BF80" s="4" t="str">
        <f t="shared" si="81"/>
        <v>х</v>
      </c>
      <c r="BG80" s="4" t="str">
        <f>"2010"</f>
        <v>2010</v>
      </c>
      <c r="BH80" s="4" t="str">
        <f>"0,00"</f>
        <v>0,00</v>
      </c>
      <c r="BI80" s="4" t="str">
        <f>"2038-2040"</f>
        <v>2038-2040</v>
      </c>
      <c r="BJ80" s="4" t="str">
        <f t="shared" si="77"/>
        <v>нет</v>
      </c>
      <c r="BK80" s="4" t="str">
        <f>""</f>
        <v/>
      </c>
      <c r="BL80" s="4" t="str">
        <f>""</f>
        <v/>
      </c>
      <c r="BM80" s="4" t="str">
        <f>""</f>
        <v/>
      </c>
      <c r="BN80" s="4" t="str">
        <f t="shared" si="78"/>
        <v>нет</v>
      </c>
      <c r="BO80" s="4" t="str">
        <f>""</f>
        <v/>
      </c>
      <c r="BP80" s="4" t="str">
        <f>""</f>
        <v/>
      </c>
      <c r="BQ80" s="4" t="str">
        <f>""</f>
        <v/>
      </c>
      <c r="BR80" s="4" t="str">
        <f>"2010"</f>
        <v>2010</v>
      </c>
      <c r="BS80" s="4" t="str">
        <f>"50,00"</f>
        <v>50,00</v>
      </c>
      <c r="BT80" s="4" t="str">
        <f>"2038-2040"</f>
        <v>2038-2040</v>
      </c>
      <c r="BU80" s="4" t="str">
        <f t="shared" si="73"/>
        <v>нет</v>
      </c>
      <c r="BV80" s="4" t="str">
        <f t="shared" si="70"/>
        <v>x</v>
      </c>
      <c r="BW80" s="4" t="str">
        <f t="shared" si="70"/>
        <v>x</v>
      </c>
      <c r="BX80" s="4" t="str">
        <f t="shared" si="70"/>
        <v>x</v>
      </c>
      <c r="BY80" s="4" t="str">
        <f t="shared" si="74"/>
        <v>нет</v>
      </c>
      <c r="BZ80" s="4" t="str">
        <f t="shared" si="71"/>
        <v>x</v>
      </c>
      <c r="CA80" s="4" t="str">
        <f t="shared" si="71"/>
        <v>x</v>
      </c>
      <c r="CB80" s="4" t="str">
        <f t="shared" si="71"/>
        <v>x</v>
      </c>
      <c r="CC80" s="4" t="str">
        <f>"2010"</f>
        <v>2010</v>
      </c>
      <c r="CD80" s="4" t="str">
        <f>"45,00"</f>
        <v>45,00</v>
      </c>
      <c r="CE80" s="4" t="str">
        <f>"2038-2040"</f>
        <v>2038-2040</v>
      </c>
      <c r="CF80" s="4" t="str">
        <f>"1957"</f>
        <v>1957</v>
      </c>
      <c r="CG80" s="4" t="str">
        <f>"45,00"</f>
        <v>45,00</v>
      </c>
      <c r="CH80" s="4" t="str">
        <f>"2038-2040"</f>
        <v>2038-2040</v>
      </c>
      <c r="CI80" s="4" t="str">
        <f>"48,00"</f>
        <v>48,00</v>
      </c>
      <c r="CJ80" s="4" t="str">
        <f>"2038-2040"</f>
        <v>2038-2040</v>
      </c>
    </row>
    <row r="81" spans="1:88" ht="11.25" customHeight="1">
      <c r="A81" s="45" t="str">
        <f>"24.68"</f>
        <v>24.68</v>
      </c>
      <c r="B81" s="46" t="str">
        <f>"г. Харовск, ул. Энергетиков, д.17"</f>
        <v>г. Харовск, ул. Энергетиков, д.17</v>
      </c>
      <c r="C81" s="6" t="str">
        <f>"1979"</f>
        <v>1979</v>
      </c>
      <c r="D81" s="4" t="str">
        <f>"1979"</f>
        <v>1979</v>
      </c>
      <c r="E81" s="4" t="str">
        <f>"20,00"</f>
        <v>20,00</v>
      </c>
      <c r="F81" s="4" t="str">
        <f>"2028-2030"</f>
        <v>2028-2030</v>
      </c>
      <c r="G81" s="4" t="str">
        <f t="shared" si="54"/>
        <v>нет</v>
      </c>
      <c r="H81" s="4" t="str">
        <f>""</f>
        <v/>
      </c>
      <c r="I81" s="4" t="str">
        <f>""</f>
        <v/>
      </c>
      <c r="J81" s="4" t="str">
        <f>""</f>
        <v/>
      </c>
      <c r="K81" s="4" t="str">
        <f t="shared" si="72"/>
        <v>нет</v>
      </c>
      <c r="L81" s="4" t="str">
        <f>""</f>
        <v/>
      </c>
      <c r="M81" s="4" t="str">
        <f>""</f>
        <v/>
      </c>
      <c r="N81" s="4" t="str">
        <f>""</f>
        <v/>
      </c>
      <c r="O81" s="7" t="str">
        <f>"1979"</f>
        <v>1979</v>
      </c>
      <c r="P81" s="4" t="str">
        <f>"20,00"</f>
        <v>20,00</v>
      </c>
      <c r="Q81" s="4" t="str">
        <f>"2028-2030"</f>
        <v>2028-2030</v>
      </c>
      <c r="R81" s="4" t="str">
        <f>"да"</f>
        <v>да</v>
      </c>
      <c r="S81" s="4" t="str">
        <f>"2009"</f>
        <v>2009</v>
      </c>
      <c r="T81" s="4" t="str">
        <f>"75,00"</f>
        <v>75,00</v>
      </c>
      <c r="U81" s="4" t="str">
        <f>"2028-2030"</f>
        <v>2028-2030</v>
      </c>
      <c r="V81" s="4" t="str">
        <f t="shared" si="75"/>
        <v>нет</v>
      </c>
      <c r="W81" s="4" t="str">
        <f>""</f>
        <v/>
      </c>
      <c r="X81" s="4" t="str">
        <f>""</f>
        <v/>
      </c>
      <c r="Y81" s="8" t="str">
        <f>""</f>
        <v/>
      </c>
      <c r="Z81" s="4" t="str">
        <f t="shared" si="79"/>
        <v>х</v>
      </c>
      <c r="AA81" s="4" t="str">
        <f t="shared" si="79"/>
        <v>х</v>
      </c>
      <c r="AB81" s="4" t="str">
        <f t="shared" si="79"/>
        <v>х</v>
      </c>
      <c r="AC81" s="4" t="str">
        <f t="shared" si="79"/>
        <v>х</v>
      </c>
      <c r="AD81" s="4" t="str">
        <f t="shared" si="79"/>
        <v>х</v>
      </c>
      <c r="AE81" s="4" t="str">
        <f t="shared" si="79"/>
        <v>х</v>
      </c>
      <c r="AF81" s="4" t="str">
        <f t="shared" si="79"/>
        <v>х</v>
      </c>
      <c r="AG81" s="4" t="str">
        <f t="shared" si="79"/>
        <v>х</v>
      </c>
      <c r="AH81" s="4" t="str">
        <f t="shared" si="79"/>
        <v>х</v>
      </c>
      <c r="AI81" s="4" t="str">
        <f t="shared" si="79"/>
        <v>х</v>
      </c>
      <c r="AJ81" s="4" t="str">
        <f t="shared" si="79"/>
        <v>х</v>
      </c>
      <c r="AK81" s="7" t="str">
        <f>"1979"</f>
        <v>1979</v>
      </c>
      <c r="AL81" s="4" t="str">
        <f>"20,00"</f>
        <v>20,00</v>
      </c>
      <c r="AM81" s="4" t="str">
        <f>"2028-2030"</f>
        <v>2028-2030</v>
      </c>
      <c r="AN81" s="4" t="str">
        <f t="shared" si="80"/>
        <v>да</v>
      </c>
      <c r="AO81" s="4" t="str">
        <f>"2013"</f>
        <v>2013</v>
      </c>
      <c r="AP81" s="4" t="str">
        <f>"0,00"</f>
        <v>0,00</v>
      </c>
      <c r="AQ81" s="4" t="str">
        <f>"2028-2030"</f>
        <v>2028-2030</v>
      </c>
      <c r="AR81" s="4" t="str">
        <f t="shared" si="76"/>
        <v>нет</v>
      </c>
      <c r="AS81" s="4" t="str">
        <f>""</f>
        <v/>
      </c>
      <c r="AT81" s="4" t="str">
        <f>""</f>
        <v/>
      </c>
      <c r="AU81" s="4" t="str">
        <f>""</f>
        <v/>
      </c>
      <c r="AV81" s="4" t="str">
        <f>"1979"</f>
        <v>1979</v>
      </c>
      <c r="AW81" s="4" t="str">
        <f>"20,00"</f>
        <v>20,00</v>
      </c>
      <c r="AX81" s="4" t="str">
        <f>"2028-2030"</f>
        <v>2028-2030</v>
      </c>
      <c r="AY81" s="4" t="str">
        <f>"нет"</f>
        <v>нет</v>
      </c>
      <c r="AZ81" s="4" t="str">
        <f>""</f>
        <v/>
      </c>
      <c r="BA81" s="4" t="str">
        <f>""</f>
        <v/>
      </c>
      <c r="BB81" s="4" t="str">
        <f>""</f>
        <v/>
      </c>
      <c r="BC81" s="4" t="str">
        <f>"нет"</f>
        <v>нет</v>
      </c>
      <c r="BD81" s="4" t="str">
        <f>""</f>
        <v/>
      </c>
      <c r="BE81" s="4" t="str">
        <f>""</f>
        <v/>
      </c>
      <c r="BF81" s="4" t="str">
        <f>""</f>
        <v/>
      </c>
      <c r="BG81" s="4" t="str">
        <f>"1979"</f>
        <v>1979</v>
      </c>
      <c r="BH81" s="4" t="str">
        <f>"20,00"</f>
        <v>20,00</v>
      </c>
      <c r="BI81" s="4" t="str">
        <f>"2028-2030"</f>
        <v>2028-2030</v>
      </c>
      <c r="BJ81" s="4" t="str">
        <f t="shared" si="77"/>
        <v>нет</v>
      </c>
      <c r="BK81" s="4" t="str">
        <f>""</f>
        <v/>
      </c>
      <c r="BL81" s="4" t="str">
        <f>""</f>
        <v/>
      </c>
      <c r="BM81" s="4" t="str">
        <f>""</f>
        <v/>
      </c>
      <c r="BN81" s="4" t="str">
        <f t="shared" si="78"/>
        <v>нет</v>
      </c>
      <c r="BO81" s="4" t="str">
        <f>""</f>
        <v/>
      </c>
      <c r="BP81" s="4" t="str">
        <f>""</f>
        <v/>
      </c>
      <c r="BQ81" s="4" t="str">
        <f>""</f>
        <v/>
      </c>
      <c r="BR81" s="4" t="str">
        <f>"1979"</f>
        <v>1979</v>
      </c>
      <c r="BS81" s="4" t="str">
        <f>"5,00"</f>
        <v>5,00</v>
      </c>
      <c r="BT81" s="4" t="str">
        <f>"2028-2030"</f>
        <v>2028-2030</v>
      </c>
      <c r="BU81" s="4" t="str">
        <f t="shared" si="73"/>
        <v>нет</v>
      </c>
      <c r="BV81" s="4" t="str">
        <f t="shared" si="70"/>
        <v>x</v>
      </c>
      <c r="BW81" s="4" t="str">
        <f t="shared" si="70"/>
        <v>x</v>
      </c>
      <c r="BX81" s="4" t="str">
        <f t="shared" si="70"/>
        <v>x</v>
      </c>
      <c r="BY81" s="4" t="str">
        <f t="shared" si="74"/>
        <v>нет</v>
      </c>
      <c r="BZ81" s="4" t="str">
        <f t="shared" si="71"/>
        <v>x</v>
      </c>
      <c r="CA81" s="4" t="str">
        <f t="shared" si="71"/>
        <v>x</v>
      </c>
      <c r="CB81" s="4" t="str">
        <f t="shared" si="71"/>
        <v>x</v>
      </c>
      <c r="CC81" s="4" t="str">
        <f>"1979"</f>
        <v>1979</v>
      </c>
      <c r="CD81" s="4" t="str">
        <f>"30,00"</f>
        <v>30,00</v>
      </c>
      <c r="CE81" s="4" t="str">
        <f>"2028-2030"</f>
        <v>2028-2030</v>
      </c>
      <c r="CF81" s="4" t="str">
        <f>"1979"</f>
        <v>1979</v>
      </c>
      <c r="CG81" s="4" t="str">
        <f>"25,00"</f>
        <v>25,00</v>
      </c>
      <c r="CH81" s="4" t="str">
        <f>"2028-2030"</f>
        <v>2028-2030</v>
      </c>
      <c r="CI81" s="4" t="str">
        <f>"26,00"</f>
        <v>26,00</v>
      </c>
      <c r="CJ81" s="4" t="str">
        <f>"2028-2030"</f>
        <v>2028-2030</v>
      </c>
    </row>
    <row r="82" spans="1:88" ht="11.25" customHeight="1">
      <c r="A82" s="45" t="str">
        <f>"24.69"</f>
        <v>24.69</v>
      </c>
      <c r="B82" s="46" t="str">
        <f>"г. Харовск, ул. Энергетиков, д.19А"</f>
        <v>г. Харовск, ул. Энергетиков, д.19А</v>
      </c>
      <c r="C82" s="6" t="str">
        <f>"1976"</f>
        <v>1976</v>
      </c>
      <c r="D82" s="4" t="str">
        <f>"1976"</f>
        <v>1976</v>
      </c>
      <c r="E82" s="4" t="str">
        <f>"45,00"</f>
        <v>45,00</v>
      </c>
      <c r="F82" s="4" t="str">
        <f>"2027-2029"</f>
        <v>2027-2029</v>
      </c>
      <c r="G82" s="4" t="str">
        <f t="shared" si="54"/>
        <v>нет</v>
      </c>
      <c r="H82" s="4" t="str">
        <f>""</f>
        <v/>
      </c>
      <c r="I82" s="4" t="str">
        <f>""</f>
        <v/>
      </c>
      <c r="J82" s="4" t="str">
        <f>""</f>
        <v/>
      </c>
      <c r="K82" s="4" t="str">
        <f t="shared" si="72"/>
        <v>нет</v>
      </c>
      <c r="L82" s="4" t="str">
        <f>""</f>
        <v/>
      </c>
      <c r="M82" s="4" t="str">
        <f>""</f>
        <v/>
      </c>
      <c r="N82" s="4" t="str">
        <f>""</f>
        <v/>
      </c>
      <c r="O82" s="7" t="str">
        <f>"1976"</f>
        <v>1976</v>
      </c>
      <c r="P82" s="4" t="str">
        <f>"45,00"</f>
        <v>45,00</v>
      </c>
      <c r="Q82" s="4" t="str">
        <f>"2027-2029"</f>
        <v>2027-2029</v>
      </c>
      <c r="R82" s="4" t="str">
        <f>"да"</f>
        <v>да</v>
      </c>
      <c r="S82" s="4" t="str">
        <f>"2009"</f>
        <v>2009</v>
      </c>
      <c r="T82" s="4" t="str">
        <f>"75,00"</f>
        <v>75,00</v>
      </c>
      <c r="U82" s="4" t="str">
        <f>"2027-2029"</f>
        <v>2027-2029</v>
      </c>
      <c r="V82" s="4" t="str">
        <f t="shared" si="75"/>
        <v>нет</v>
      </c>
      <c r="W82" s="4" t="str">
        <f>""</f>
        <v/>
      </c>
      <c r="X82" s="4" t="str">
        <f>""</f>
        <v/>
      </c>
      <c r="Y82" s="8" t="str">
        <f>""</f>
        <v/>
      </c>
      <c r="Z82" s="4" t="str">
        <f>"1976"</f>
        <v>1976</v>
      </c>
      <c r="AA82" s="4" t="str">
        <f>"45,00"</f>
        <v>45,00</v>
      </c>
      <c r="AB82" s="4" t="str">
        <f>"2027-2029"</f>
        <v>2027-2029</v>
      </c>
      <c r="AC82" s="4" t="str">
        <f>"нет"</f>
        <v>нет</v>
      </c>
      <c r="AD82" s="4" t="str">
        <f>""</f>
        <v/>
      </c>
      <c r="AE82" s="4" t="str">
        <f>""</f>
        <v/>
      </c>
      <c r="AF82" s="4" t="str">
        <f>""</f>
        <v/>
      </c>
      <c r="AG82" s="4" t="str">
        <f>"нет"</f>
        <v>нет</v>
      </c>
      <c r="AH82" s="4" t="str">
        <f>""</f>
        <v/>
      </c>
      <c r="AI82" s="4" t="str">
        <f>""</f>
        <v/>
      </c>
      <c r="AJ82" s="4" t="str">
        <f>""</f>
        <v/>
      </c>
      <c r="AK82" s="7" t="str">
        <f>"1976"</f>
        <v>1976</v>
      </c>
      <c r="AL82" s="4" t="str">
        <f>"45,00"</f>
        <v>45,00</v>
      </c>
      <c r="AM82" s="4" t="str">
        <f>"2027-2029"</f>
        <v>2027-2029</v>
      </c>
      <c r="AN82" s="4" t="str">
        <f t="shared" si="80"/>
        <v>да</v>
      </c>
      <c r="AO82" s="4" t="str">
        <f>"2009"</f>
        <v>2009</v>
      </c>
      <c r="AP82" s="4" t="str">
        <f>"66,00"</f>
        <v>66,00</v>
      </c>
      <c r="AQ82" s="4" t="str">
        <f>"2027-2029"</f>
        <v>2027-2029</v>
      </c>
      <c r="AR82" s="4" t="str">
        <f t="shared" si="76"/>
        <v>нет</v>
      </c>
      <c r="AS82" s="4" t="str">
        <f>""</f>
        <v/>
      </c>
      <c r="AT82" s="4" t="str">
        <f>""</f>
        <v/>
      </c>
      <c r="AU82" s="4" t="str">
        <f>""</f>
        <v/>
      </c>
      <c r="AV82" s="4" t="str">
        <f t="shared" ref="AV82:BF86" si="82">"х"</f>
        <v>х</v>
      </c>
      <c r="AW82" s="4" t="str">
        <f t="shared" si="82"/>
        <v>х</v>
      </c>
      <c r="AX82" s="4" t="str">
        <f t="shared" si="82"/>
        <v>х</v>
      </c>
      <c r="AY82" s="4" t="str">
        <f t="shared" si="82"/>
        <v>х</v>
      </c>
      <c r="AZ82" s="4" t="str">
        <f t="shared" si="82"/>
        <v>х</v>
      </c>
      <c r="BA82" s="4" t="str">
        <f t="shared" si="82"/>
        <v>х</v>
      </c>
      <c r="BB82" s="4" t="str">
        <f t="shared" si="82"/>
        <v>х</v>
      </c>
      <c r="BC82" s="4" t="str">
        <f t="shared" si="82"/>
        <v>х</v>
      </c>
      <c r="BD82" s="4" t="str">
        <f t="shared" si="82"/>
        <v>х</v>
      </c>
      <c r="BE82" s="4" t="str">
        <f t="shared" si="82"/>
        <v>х</v>
      </c>
      <c r="BF82" s="4" t="str">
        <f t="shared" si="82"/>
        <v>х</v>
      </c>
      <c r="BG82" s="4" t="str">
        <f>"1976"</f>
        <v>1976</v>
      </c>
      <c r="BH82" s="4" t="str">
        <f>"45,00"</f>
        <v>45,00</v>
      </c>
      <c r="BI82" s="4" t="str">
        <f>"2027-2029"</f>
        <v>2027-2029</v>
      </c>
      <c r="BJ82" s="4" t="str">
        <f t="shared" si="77"/>
        <v>нет</v>
      </c>
      <c r="BK82" s="4" t="str">
        <f>""</f>
        <v/>
      </c>
      <c r="BL82" s="4" t="str">
        <f>""</f>
        <v/>
      </c>
      <c r="BM82" s="4" t="str">
        <f>""</f>
        <v/>
      </c>
      <c r="BN82" s="4" t="str">
        <f t="shared" si="78"/>
        <v>нет</v>
      </c>
      <c r="BO82" s="4" t="str">
        <f>""</f>
        <v/>
      </c>
      <c r="BP82" s="4" t="str">
        <f>""</f>
        <v/>
      </c>
      <c r="BQ82" s="4" t="str">
        <f>""</f>
        <v/>
      </c>
      <c r="BR82" s="4" t="str">
        <f>"1976"</f>
        <v>1976</v>
      </c>
      <c r="BS82" s="4" t="str">
        <f>"10,00"</f>
        <v>10,00</v>
      </c>
      <c r="BT82" s="4" t="str">
        <f>"2027-2029"</f>
        <v>2027-2029</v>
      </c>
      <c r="BU82" s="4" t="str">
        <f t="shared" si="73"/>
        <v>нет</v>
      </c>
      <c r="BV82" s="4" t="str">
        <f t="shared" si="70"/>
        <v>x</v>
      </c>
      <c r="BW82" s="4" t="str">
        <f t="shared" si="70"/>
        <v>x</v>
      </c>
      <c r="BX82" s="4" t="str">
        <f t="shared" si="70"/>
        <v>x</v>
      </c>
      <c r="BY82" s="4" t="str">
        <f t="shared" si="74"/>
        <v>нет</v>
      </c>
      <c r="BZ82" s="4" t="str">
        <f t="shared" si="71"/>
        <v>x</v>
      </c>
      <c r="CA82" s="4" t="str">
        <f t="shared" si="71"/>
        <v>x</v>
      </c>
      <c r="CB82" s="4" t="str">
        <f t="shared" si="71"/>
        <v>x</v>
      </c>
      <c r="CC82" s="4" t="str">
        <f>"1976"</f>
        <v>1976</v>
      </c>
      <c r="CD82" s="4" t="str">
        <f>"35,00"</f>
        <v>35,00</v>
      </c>
      <c r="CE82" s="4" t="str">
        <f>"2027-2029"</f>
        <v>2027-2029</v>
      </c>
      <c r="CF82" s="4" t="str">
        <f>"1976"</f>
        <v>1976</v>
      </c>
      <c r="CG82" s="4" t="str">
        <f>"30,00"</f>
        <v>30,00</v>
      </c>
      <c r="CH82" s="4" t="str">
        <f>"2027-2029"</f>
        <v>2027-2029</v>
      </c>
      <c r="CI82" s="4" t="str">
        <f>"37,00"</f>
        <v>37,00</v>
      </c>
      <c r="CJ82" s="4" t="str">
        <f>"2027-2029"</f>
        <v>2027-2029</v>
      </c>
    </row>
    <row r="83" spans="1:88" ht="11.25" customHeight="1">
      <c r="A83" s="45" t="str">
        <f>"24.70"</f>
        <v>24.70</v>
      </c>
      <c r="B83" s="46" t="str">
        <f>"г. Харовск, ул. Энергетиков, д.33"</f>
        <v>г. Харовск, ул. Энергетиков, д.33</v>
      </c>
      <c r="C83" s="6" t="str">
        <f>"1989"</f>
        <v>1989</v>
      </c>
      <c r="D83" s="4" t="str">
        <f>"1989"</f>
        <v>1989</v>
      </c>
      <c r="E83" s="4" t="str">
        <f>"20,00"</f>
        <v>20,00</v>
      </c>
      <c r="F83" s="4" t="str">
        <f>"2033-2035"</f>
        <v>2033-2035</v>
      </c>
      <c r="G83" s="4" t="str">
        <f t="shared" si="54"/>
        <v>нет</v>
      </c>
      <c r="H83" s="4" t="str">
        <f>""</f>
        <v/>
      </c>
      <c r="I83" s="4" t="str">
        <f>""</f>
        <v/>
      </c>
      <c r="J83" s="4" t="str">
        <f>""</f>
        <v/>
      </c>
      <c r="K83" s="4" t="str">
        <f t="shared" si="72"/>
        <v>нет</v>
      </c>
      <c r="L83" s="4" t="str">
        <f>""</f>
        <v/>
      </c>
      <c r="M83" s="4" t="str">
        <f>""</f>
        <v/>
      </c>
      <c r="N83" s="4" t="str">
        <f>""</f>
        <v/>
      </c>
      <c r="O83" s="7" t="str">
        <f>"1989"</f>
        <v>1989</v>
      </c>
      <c r="P83" s="4" t="str">
        <f>"20,00"</f>
        <v>20,00</v>
      </c>
      <c r="Q83" s="4" t="str">
        <f>"2033-2035"</f>
        <v>2033-2035</v>
      </c>
      <c r="R83" s="4" t="str">
        <f>"да"</f>
        <v>да</v>
      </c>
      <c r="S83" s="4" t="str">
        <f>"2009"</f>
        <v>2009</v>
      </c>
      <c r="T83" s="4" t="str">
        <f>"75,00"</f>
        <v>75,00</v>
      </c>
      <c r="U83" s="4" t="str">
        <f>"2033-2035"</f>
        <v>2033-2035</v>
      </c>
      <c r="V83" s="4" t="str">
        <f t="shared" si="75"/>
        <v>нет</v>
      </c>
      <c r="W83" s="4" t="str">
        <f>""</f>
        <v/>
      </c>
      <c r="X83" s="4" t="str">
        <f>""</f>
        <v/>
      </c>
      <c r="Y83" s="8" t="str">
        <f>""</f>
        <v/>
      </c>
      <c r="Z83" s="4" t="str">
        <f t="shared" ref="Z83:AJ83" si="83">"х"</f>
        <v>х</v>
      </c>
      <c r="AA83" s="4" t="str">
        <f t="shared" si="83"/>
        <v>х</v>
      </c>
      <c r="AB83" s="4" t="str">
        <f t="shared" si="83"/>
        <v>х</v>
      </c>
      <c r="AC83" s="4" t="str">
        <f t="shared" si="83"/>
        <v>х</v>
      </c>
      <c r="AD83" s="4" t="str">
        <f t="shared" si="83"/>
        <v>х</v>
      </c>
      <c r="AE83" s="4" t="str">
        <f t="shared" si="83"/>
        <v>х</v>
      </c>
      <c r="AF83" s="4" t="str">
        <f t="shared" si="83"/>
        <v>х</v>
      </c>
      <c r="AG83" s="4" t="str">
        <f t="shared" si="83"/>
        <v>х</v>
      </c>
      <c r="AH83" s="4" t="str">
        <f t="shared" si="83"/>
        <v>х</v>
      </c>
      <c r="AI83" s="4" t="str">
        <f t="shared" si="83"/>
        <v>х</v>
      </c>
      <c r="AJ83" s="4" t="str">
        <f t="shared" si="83"/>
        <v>х</v>
      </c>
      <c r="AK83" s="7" t="str">
        <f>"1989"</f>
        <v>1989</v>
      </c>
      <c r="AL83" s="4" t="str">
        <f>"20,00"</f>
        <v>20,00</v>
      </c>
      <c r="AM83" s="4" t="str">
        <f>"2033-2035"</f>
        <v>2033-2035</v>
      </c>
      <c r="AN83" s="4" t="str">
        <f t="shared" si="80"/>
        <v>да</v>
      </c>
      <c r="AO83" s="4" t="str">
        <f>"2013"</f>
        <v>2013</v>
      </c>
      <c r="AP83" s="4" t="str">
        <f>"0,00"</f>
        <v>0,00</v>
      </c>
      <c r="AQ83" s="4" t="str">
        <f>"2033-2035"</f>
        <v>2033-2035</v>
      </c>
      <c r="AR83" s="4" t="str">
        <f t="shared" si="76"/>
        <v>нет</v>
      </c>
      <c r="AS83" s="4" t="str">
        <f>""</f>
        <v/>
      </c>
      <c r="AT83" s="4" t="str">
        <f>""</f>
        <v/>
      </c>
      <c r="AU83" s="4" t="str">
        <f>""</f>
        <v/>
      </c>
      <c r="AV83" s="4" t="str">
        <f t="shared" si="82"/>
        <v>х</v>
      </c>
      <c r="AW83" s="4" t="str">
        <f t="shared" si="82"/>
        <v>х</v>
      </c>
      <c r="AX83" s="4" t="str">
        <f t="shared" si="82"/>
        <v>х</v>
      </c>
      <c r="AY83" s="4" t="str">
        <f t="shared" si="82"/>
        <v>х</v>
      </c>
      <c r="AZ83" s="4" t="str">
        <f t="shared" si="82"/>
        <v>х</v>
      </c>
      <c r="BA83" s="4" t="str">
        <f t="shared" si="82"/>
        <v>х</v>
      </c>
      <c r="BB83" s="4" t="str">
        <f t="shared" si="82"/>
        <v>х</v>
      </c>
      <c r="BC83" s="4" t="str">
        <f t="shared" si="82"/>
        <v>х</v>
      </c>
      <c r="BD83" s="4" t="str">
        <f t="shared" si="82"/>
        <v>х</v>
      </c>
      <c r="BE83" s="4" t="str">
        <f t="shared" si="82"/>
        <v>х</v>
      </c>
      <c r="BF83" s="4" t="str">
        <f t="shared" si="82"/>
        <v>х</v>
      </c>
      <c r="BG83" s="4" t="str">
        <f>"1989"</f>
        <v>1989</v>
      </c>
      <c r="BH83" s="4" t="str">
        <f>"20,00"</f>
        <v>20,00</v>
      </c>
      <c r="BI83" s="4" t="str">
        <f>"2033-2035"</f>
        <v>2033-2035</v>
      </c>
      <c r="BJ83" s="4" t="str">
        <f t="shared" si="77"/>
        <v>нет</v>
      </c>
      <c r="BK83" s="4" t="str">
        <f>""</f>
        <v/>
      </c>
      <c r="BL83" s="4" t="str">
        <f>""</f>
        <v/>
      </c>
      <c r="BM83" s="4" t="str">
        <f>""</f>
        <v/>
      </c>
      <c r="BN83" s="4" t="str">
        <f t="shared" si="78"/>
        <v>нет</v>
      </c>
      <c r="BO83" s="4" t="str">
        <f>""</f>
        <v/>
      </c>
      <c r="BP83" s="4" t="str">
        <f>""</f>
        <v/>
      </c>
      <c r="BQ83" s="4" t="str">
        <f>""</f>
        <v/>
      </c>
      <c r="BR83" s="4" t="str">
        <f>"1989"</f>
        <v>1989</v>
      </c>
      <c r="BS83" s="4" t="str">
        <f>"25,00"</f>
        <v>25,00</v>
      </c>
      <c r="BT83" s="4" t="str">
        <f>"2033-2035"</f>
        <v>2033-2035</v>
      </c>
      <c r="BU83" s="4" t="str">
        <f t="shared" si="73"/>
        <v>нет</v>
      </c>
      <c r="BV83" s="4" t="str">
        <f t="shared" si="70"/>
        <v>x</v>
      </c>
      <c r="BW83" s="4" t="str">
        <f t="shared" si="70"/>
        <v>x</v>
      </c>
      <c r="BX83" s="4" t="str">
        <f t="shared" si="70"/>
        <v>x</v>
      </c>
      <c r="BY83" s="4" t="str">
        <f t="shared" si="74"/>
        <v>нет</v>
      </c>
      <c r="BZ83" s="4" t="str">
        <f t="shared" si="71"/>
        <v>x</v>
      </c>
      <c r="CA83" s="4" t="str">
        <f t="shared" si="71"/>
        <v>x</v>
      </c>
      <c r="CB83" s="4" t="str">
        <f t="shared" si="71"/>
        <v>x</v>
      </c>
      <c r="CC83" s="4" t="str">
        <f>"1989"</f>
        <v>1989</v>
      </c>
      <c r="CD83" s="4" t="str">
        <f>"15,00"</f>
        <v>15,00</v>
      </c>
      <c r="CE83" s="4" t="str">
        <f>"2033-2035"</f>
        <v>2033-2035</v>
      </c>
      <c r="CF83" s="4" t="str">
        <f>"1989"</f>
        <v>1989</v>
      </c>
      <c r="CG83" s="4" t="str">
        <f>"15,00"</f>
        <v>15,00</v>
      </c>
      <c r="CH83" s="4" t="str">
        <f>"2033-2035"</f>
        <v>2033-2035</v>
      </c>
      <c r="CI83" s="4" t="str">
        <f>"18,00"</f>
        <v>18,00</v>
      </c>
      <c r="CJ83" s="4" t="str">
        <f>"2033-2035"</f>
        <v>2033-2035</v>
      </c>
    </row>
    <row r="84" spans="1:88" ht="11.25" customHeight="1">
      <c r="A84" s="45" t="str">
        <f>"24.71"</f>
        <v>24.71</v>
      </c>
      <c r="B84" s="46" t="str">
        <f>"г. Харовск, ул. Энергетиков, д.5А"</f>
        <v>г. Харовск, ул. Энергетиков, д.5А</v>
      </c>
      <c r="C84" s="6" t="str">
        <f>"1980"</f>
        <v>1980</v>
      </c>
      <c r="D84" s="4" t="str">
        <f>"1980"</f>
        <v>1980</v>
      </c>
      <c r="E84" s="4" t="str">
        <f>"30,00"</f>
        <v>30,00</v>
      </c>
      <c r="F84" s="4" t="str">
        <f>"2028-2030"</f>
        <v>2028-2030</v>
      </c>
      <c r="G84" s="4" t="str">
        <f t="shared" si="54"/>
        <v>нет</v>
      </c>
      <c r="H84" s="4" t="str">
        <f>""</f>
        <v/>
      </c>
      <c r="I84" s="4" t="str">
        <f>""</f>
        <v/>
      </c>
      <c r="J84" s="4" t="str">
        <f>""</f>
        <v/>
      </c>
      <c r="K84" s="4" t="str">
        <f t="shared" si="72"/>
        <v>нет</v>
      </c>
      <c r="L84" s="4" t="str">
        <f>""</f>
        <v/>
      </c>
      <c r="M84" s="4" t="str">
        <f>""</f>
        <v/>
      </c>
      <c r="N84" s="4" t="str">
        <f>""</f>
        <v/>
      </c>
      <c r="O84" s="7" t="str">
        <f>"1980"</f>
        <v>1980</v>
      </c>
      <c r="P84" s="4" t="str">
        <f>"30,00"</f>
        <v>30,00</v>
      </c>
      <c r="Q84" s="4" t="str">
        <f>"2028-2030"</f>
        <v>2028-2030</v>
      </c>
      <c r="R84" s="4" t="str">
        <f>"нет"</f>
        <v>нет</v>
      </c>
      <c r="S84" s="4" t="str">
        <f>""</f>
        <v/>
      </c>
      <c r="T84" s="4" t="str">
        <f>""</f>
        <v/>
      </c>
      <c r="U84" s="4" t="str">
        <f>""</f>
        <v/>
      </c>
      <c r="V84" s="4" t="str">
        <f t="shared" si="75"/>
        <v>нет</v>
      </c>
      <c r="W84" s="4" t="str">
        <f>""</f>
        <v/>
      </c>
      <c r="X84" s="4" t="str">
        <f>""</f>
        <v/>
      </c>
      <c r="Y84" s="8" t="str">
        <f>""</f>
        <v/>
      </c>
      <c r="Z84" s="4" t="str">
        <f>""</f>
        <v/>
      </c>
      <c r="AA84" s="4" t="str">
        <f>""</f>
        <v/>
      </c>
      <c r="AB84" s="4" t="str">
        <f>""</f>
        <v/>
      </c>
      <c r="AC84" s="4" t="str">
        <f>""</f>
        <v/>
      </c>
      <c r="AD84" s="4" t="str">
        <f>""</f>
        <v/>
      </c>
      <c r="AE84" s="4" t="str">
        <f>""</f>
        <v/>
      </c>
      <c r="AF84" s="4" t="str">
        <f>""</f>
        <v/>
      </c>
      <c r="AG84" s="4" t="str">
        <f>""</f>
        <v/>
      </c>
      <c r="AH84" s="4" t="str">
        <f>""</f>
        <v/>
      </c>
      <c r="AI84" s="4" t="str">
        <f>""</f>
        <v/>
      </c>
      <c r="AJ84" s="4" t="str">
        <f>""</f>
        <v/>
      </c>
      <c r="AK84" s="7" t="str">
        <f>"1980"</f>
        <v>1980</v>
      </c>
      <c r="AL84" s="4" t="str">
        <f>"30,00"</f>
        <v>30,00</v>
      </c>
      <c r="AM84" s="4" t="str">
        <f>"2028-2030"</f>
        <v>2028-2030</v>
      </c>
      <c r="AN84" s="4" t="str">
        <f t="shared" si="80"/>
        <v>да</v>
      </c>
      <c r="AO84" s="4" t="str">
        <f>"2013"</f>
        <v>2013</v>
      </c>
      <c r="AP84" s="4" t="str">
        <f>"0,00"</f>
        <v>0,00</v>
      </c>
      <c r="AQ84" s="4" t="str">
        <f>"2028-2030"</f>
        <v>2028-2030</v>
      </c>
      <c r="AR84" s="4" t="str">
        <f t="shared" si="76"/>
        <v>нет</v>
      </c>
      <c r="AS84" s="4" t="str">
        <f>""</f>
        <v/>
      </c>
      <c r="AT84" s="4" t="str">
        <f>""</f>
        <v/>
      </c>
      <c r="AU84" s="4" t="str">
        <f>""</f>
        <v/>
      </c>
      <c r="AV84" s="4" t="str">
        <f t="shared" si="82"/>
        <v>х</v>
      </c>
      <c r="AW84" s="4" t="str">
        <f t="shared" si="82"/>
        <v>х</v>
      </c>
      <c r="AX84" s="4" t="str">
        <f t="shared" si="82"/>
        <v>х</v>
      </c>
      <c r="AY84" s="4" t="str">
        <f t="shared" si="82"/>
        <v>х</v>
      </c>
      <c r="AZ84" s="4" t="str">
        <f t="shared" si="82"/>
        <v>х</v>
      </c>
      <c r="BA84" s="4" t="str">
        <f t="shared" si="82"/>
        <v>х</v>
      </c>
      <c r="BB84" s="4" t="str">
        <f t="shared" si="82"/>
        <v>х</v>
      </c>
      <c r="BC84" s="4" t="str">
        <f t="shared" si="82"/>
        <v>х</v>
      </c>
      <c r="BD84" s="4" t="str">
        <f t="shared" si="82"/>
        <v>х</v>
      </c>
      <c r="BE84" s="4" t="str">
        <f t="shared" si="82"/>
        <v>х</v>
      </c>
      <c r="BF84" s="4" t="str">
        <f t="shared" si="82"/>
        <v>х</v>
      </c>
      <c r="BG84" s="4" t="str">
        <f>"1980"</f>
        <v>1980</v>
      </c>
      <c r="BH84" s="4" t="str">
        <f>"30,00"</f>
        <v>30,00</v>
      </c>
      <c r="BI84" s="4" t="str">
        <f>"2028-2030"</f>
        <v>2028-2030</v>
      </c>
      <c r="BJ84" s="4" t="str">
        <f t="shared" si="77"/>
        <v>нет</v>
      </c>
      <c r="BK84" s="4" t="str">
        <f>""</f>
        <v/>
      </c>
      <c r="BL84" s="4" t="str">
        <f>""</f>
        <v/>
      </c>
      <c r="BM84" s="4" t="str">
        <f>""</f>
        <v/>
      </c>
      <c r="BN84" s="4" t="str">
        <f t="shared" si="78"/>
        <v>нет</v>
      </c>
      <c r="BO84" s="4" t="str">
        <f>""</f>
        <v/>
      </c>
      <c r="BP84" s="4" t="str">
        <f>""</f>
        <v/>
      </c>
      <c r="BQ84" s="4" t="str">
        <f>""</f>
        <v/>
      </c>
      <c r="BR84" s="4" t="str">
        <f>"1980"</f>
        <v>1980</v>
      </c>
      <c r="BS84" s="4" t="str">
        <f>"40,00"</f>
        <v>40,00</v>
      </c>
      <c r="BT84" s="4" t="str">
        <f>"2028-2030"</f>
        <v>2028-2030</v>
      </c>
      <c r="BU84" s="4" t="str">
        <f t="shared" si="73"/>
        <v>нет</v>
      </c>
      <c r="BV84" s="4" t="str">
        <f t="shared" si="70"/>
        <v>x</v>
      </c>
      <c r="BW84" s="4" t="str">
        <f t="shared" si="70"/>
        <v>x</v>
      </c>
      <c r="BX84" s="4" t="str">
        <f t="shared" si="70"/>
        <v>x</v>
      </c>
      <c r="BY84" s="4" t="str">
        <f t="shared" si="74"/>
        <v>нет</v>
      </c>
      <c r="BZ84" s="4" t="str">
        <f t="shared" si="71"/>
        <v>x</v>
      </c>
      <c r="CA84" s="4" t="str">
        <f t="shared" si="71"/>
        <v>x</v>
      </c>
      <c r="CB84" s="4" t="str">
        <f t="shared" si="71"/>
        <v>x</v>
      </c>
      <c r="CC84" s="4" t="str">
        <f>"1980"</f>
        <v>1980</v>
      </c>
      <c r="CD84" s="4" t="str">
        <f>"30,00"</f>
        <v>30,00</v>
      </c>
      <c r="CE84" s="4" t="str">
        <f>"2028-2030"</f>
        <v>2028-2030</v>
      </c>
      <c r="CF84" s="4" t="str">
        <f>"1980"</f>
        <v>1980</v>
      </c>
      <c r="CG84" s="4" t="str">
        <f>"30,00"</f>
        <v>30,00</v>
      </c>
      <c r="CH84" s="4" t="str">
        <f>"2028-2030"</f>
        <v>2028-2030</v>
      </c>
      <c r="CI84" s="4" t="str">
        <f>"30,00"</f>
        <v>30,00</v>
      </c>
      <c r="CJ84" s="4" t="str">
        <f>"2028-2030"</f>
        <v>2028-2030</v>
      </c>
    </row>
    <row r="85" spans="1:88" ht="11.25" customHeight="1">
      <c r="A85" s="45" t="str">
        <f>"24.72"</f>
        <v>24.72</v>
      </c>
      <c r="B85" s="46" t="str">
        <f>"г. Харовск, ул. Энергетиков, д.6"</f>
        <v>г. Харовск, ул. Энергетиков, д.6</v>
      </c>
      <c r="C85" s="6" t="str">
        <f>"1957"</f>
        <v>1957</v>
      </c>
      <c r="D85" s="4" t="str">
        <f>"1957"</f>
        <v>1957</v>
      </c>
      <c r="E85" s="4" t="str">
        <f>"30,00"</f>
        <v>30,00</v>
      </c>
      <c r="F85" s="4" t="str">
        <f>"2038-2040"</f>
        <v>2038-2040</v>
      </c>
      <c r="G85" s="4" t="str">
        <f t="shared" si="54"/>
        <v>нет</v>
      </c>
      <c r="H85" s="4" t="str">
        <f>""</f>
        <v/>
      </c>
      <c r="I85" s="4" t="str">
        <f>""</f>
        <v/>
      </c>
      <c r="J85" s="4" t="str">
        <f>""</f>
        <v/>
      </c>
      <c r="K85" s="4" t="str">
        <f t="shared" si="72"/>
        <v>нет</v>
      </c>
      <c r="L85" s="4" t="str">
        <f>""</f>
        <v/>
      </c>
      <c r="M85" s="4" t="str">
        <f>""</f>
        <v/>
      </c>
      <c r="N85" s="4" t="str">
        <f>""</f>
        <v/>
      </c>
      <c r="O85" s="7" t="str">
        <f>"2010"</f>
        <v>2010</v>
      </c>
      <c r="P85" s="4" t="str">
        <f>"0,00"</f>
        <v>0,00</v>
      </c>
      <c r="Q85" s="4" t="str">
        <f>"2038-2040"</f>
        <v>2038-2040</v>
      </c>
      <c r="R85" s="4" t="str">
        <f>"да"</f>
        <v>да</v>
      </c>
      <c r="S85" s="4" t="str">
        <f>"2010"</f>
        <v>2010</v>
      </c>
      <c r="T85" s="4" t="str">
        <f>"75,00"</f>
        <v>75,00</v>
      </c>
      <c r="U85" s="4" t="str">
        <f>"2038-2040"</f>
        <v>2038-2040</v>
      </c>
      <c r="V85" s="4" t="str">
        <f t="shared" si="75"/>
        <v>нет</v>
      </c>
      <c r="W85" s="4" t="str">
        <f>""</f>
        <v/>
      </c>
      <c r="X85" s="4" t="str">
        <f>""</f>
        <v/>
      </c>
      <c r="Y85" s="8" t="str">
        <f>""</f>
        <v/>
      </c>
      <c r="Z85" s="4" t="str">
        <f>""</f>
        <v/>
      </c>
      <c r="AA85" s="4" t="str">
        <f>""</f>
        <v/>
      </c>
      <c r="AB85" s="4" t="str">
        <f>""</f>
        <v/>
      </c>
      <c r="AC85" s="4" t="str">
        <f>""</f>
        <v/>
      </c>
      <c r="AD85" s="4" t="str">
        <f>""</f>
        <v/>
      </c>
      <c r="AE85" s="4" t="str">
        <f>""</f>
        <v/>
      </c>
      <c r="AF85" s="4" t="str">
        <f>""</f>
        <v/>
      </c>
      <c r="AG85" s="4" t="str">
        <f>""</f>
        <v/>
      </c>
      <c r="AH85" s="4" t="str">
        <f>""</f>
        <v/>
      </c>
      <c r="AI85" s="4" t="str">
        <f>""</f>
        <v/>
      </c>
      <c r="AJ85" s="4" t="str">
        <f>""</f>
        <v/>
      </c>
      <c r="AK85" s="7" t="str">
        <f>"2010"</f>
        <v>2010</v>
      </c>
      <c r="AL85" s="4" t="str">
        <f>"0,00"</f>
        <v>0,00</v>
      </c>
      <c r="AM85" s="4" t="str">
        <f>"2038-2040"</f>
        <v>2038-2040</v>
      </c>
      <c r="AN85" s="4" t="str">
        <f t="shared" si="80"/>
        <v>да</v>
      </c>
      <c r="AO85" s="4" t="str">
        <f>"2010"</f>
        <v>2010</v>
      </c>
      <c r="AP85" s="4" t="str">
        <f>"50,00"</f>
        <v>50,00</v>
      </c>
      <c r="AQ85" s="4" t="str">
        <f>"2038-2040"</f>
        <v>2038-2040</v>
      </c>
      <c r="AR85" s="4" t="str">
        <f t="shared" si="76"/>
        <v>нет</v>
      </c>
      <c r="AS85" s="4" t="str">
        <f>""</f>
        <v/>
      </c>
      <c r="AT85" s="4" t="str">
        <f>""</f>
        <v/>
      </c>
      <c r="AU85" s="4" t="str">
        <f>""</f>
        <v/>
      </c>
      <c r="AV85" s="4" t="str">
        <f t="shared" si="82"/>
        <v>х</v>
      </c>
      <c r="AW85" s="4" t="str">
        <f t="shared" si="82"/>
        <v>х</v>
      </c>
      <c r="AX85" s="4" t="str">
        <f t="shared" si="82"/>
        <v>х</v>
      </c>
      <c r="AY85" s="4" t="str">
        <f t="shared" si="82"/>
        <v>х</v>
      </c>
      <c r="AZ85" s="4" t="str">
        <f t="shared" si="82"/>
        <v>х</v>
      </c>
      <c r="BA85" s="4" t="str">
        <f t="shared" si="82"/>
        <v>х</v>
      </c>
      <c r="BB85" s="4" t="str">
        <f t="shared" si="82"/>
        <v>х</v>
      </c>
      <c r="BC85" s="4" t="str">
        <f t="shared" si="82"/>
        <v>х</v>
      </c>
      <c r="BD85" s="4" t="str">
        <f t="shared" si="82"/>
        <v>х</v>
      </c>
      <c r="BE85" s="4" t="str">
        <f t="shared" si="82"/>
        <v>х</v>
      </c>
      <c r="BF85" s="4" t="str">
        <f t="shared" si="82"/>
        <v>х</v>
      </c>
      <c r="BG85" s="4" t="str">
        <f>"2010"</f>
        <v>2010</v>
      </c>
      <c r="BH85" s="4" t="str">
        <f>"0,00"</f>
        <v>0,00</v>
      </c>
      <c r="BI85" s="4" t="str">
        <f>"2038-2040"</f>
        <v>2038-2040</v>
      </c>
      <c r="BJ85" s="4" t="str">
        <f t="shared" si="77"/>
        <v>нет</v>
      </c>
      <c r="BK85" s="4" t="str">
        <f>""</f>
        <v/>
      </c>
      <c r="BL85" s="4" t="str">
        <f>""</f>
        <v/>
      </c>
      <c r="BM85" s="4" t="str">
        <f>""</f>
        <v/>
      </c>
      <c r="BN85" s="4" t="str">
        <f t="shared" si="78"/>
        <v>нет</v>
      </c>
      <c r="BO85" s="4" t="str">
        <f>""</f>
        <v/>
      </c>
      <c r="BP85" s="4" t="str">
        <f>""</f>
        <v/>
      </c>
      <c r="BQ85" s="4" t="str">
        <f>""</f>
        <v/>
      </c>
      <c r="BR85" s="4" t="str">
        <f>"2010"</f>
        <v>2010</v>
      </c>
      <c r="BS85" s="4" t="str">
        <f>"30,00"</f>
        <v>30,00</v>
      </c>
      <c r="BT85" s="4" t="str">
        <f>"2038-2040"</f>
        <v>2038-2040</v>
      </c>
      <c r="BU85" s="4" t="str">
        <f t="shared" si="73"/>
        <v>нет</v>
      </c>
      <c r="BV85" s="4" t="str">
        <f t="shared" si="70"/>
        <v>x</v>
      </c>
      <c r="BW85" s="4" t="str">
        <f t="shared" si="70"/>
        <v>x</v>
      </c>
      <c r="BX85" s="4" t="str">
        <f t="shared" si="70"/>
        <v>x</v>
      </c>
      <c r="BY85" s="4" t="str">
        <f t="shared" si="74"/>
        <v>нет</v>
      </c>
      <c r="BZ85" s="4" t="str">
        <f t="shared" si="71"/>
        <v>x</v>
      </c>
      <c r="CA85" s="4" t="str">
        <f t="shared" si="71"/>
        <v>x</v>
      </c>
      <c r="CB85" s="4" t="str">
        <f t="shared" si="71"/>
        <v>x</v>
      </c>
      <c r="CC85" s="4" t="str">
        <f>"2010"</f>
        <v>2010</v>
      </c>
      <c r="CD85" s="4" t="str">
        <f>"55,00"</f>
        <v>55,00</v>
      </c>
      <c r="CE85" s="4" t="str">
        <f>"2038-2040"</f>
        <v>2038-2040</v>
      </c>
      <c r="CF85" s="4" t="str">
        <f>"1957"</f>
        <v>1957</v>
      </c>
      <c r="CG85" s="4" t="str">
        <f>"55,00"</f>
        <v>55,00</v>
      </c>
      <c r="CH85" s="4" t="str">
        <f>"2038-2040"</f>
        <v>2038-2040</v>
      </c>
      <c r="CI85" s="4" t="str">
        <f>"39,00"</f>
        <v>39,00</v>
      </c>
      <c r="CJ85" s="4" t="str">
        <f>"2038-2040"</f>
        <v>2038-2040</v>
      </c>
    </row>
    <row r="86" spans="1:88" ht="11.25" customHeight="1">
      <c r="A86" s="45" t="str">
        <f>"24.73"</f>
        <v>24.73</v>
      </c>
      <c r="B86" s="46" t="str">
        <f>"г. Харовск, ул. Южная, д.1"</f>
        <v>г. Харовск, ул. Южная, д.1</v>
      </c>
      <c r="C86" s="6" t="str">
        <f>"1965"</f>
        <v>1965</v>
      </c>
      <c r="D86" s="4" t="str">
        <f>"1965"</f>
        <v>1965</v>
      </c>
      <c r="E86" s="4" t="str">
        <f>"46,00"</f>
        <v>46,00</v>
      </c>
      <c r="F86" s="4" t="str">
        <f>"2022-2024"</f>
        <v>2022-2024</v>
      </c>
      <c r="G86" s="4" t="str">
        <f t="shared" si="54"/>
        <v>нет</v>
      </c>
      <c r="H86" s="4" t="str">
        <f>""</f>
        <v/>
      </c>
      <c r="I86" s="4" t="str">
        <f>""</f>
        <v/>
      </c>
      <c r="J86" s="4" t="str">
        <f>""</f>
        <v/>
      </c>
      <c r="K86" s="4" t="str">
        <f t="shared" si="72"/>
        <v>нет</v>
      </c>
      <c r="L86" s="4" t="str">
        <f>""</f>
        <v/>
      </c>
      <c r="M86" s="4" t="str">
        <f>""</f>
        <v/>
      </c>
      <c r="N86" s="4" t="str">
        <f>""</f>
        <v/>
      </c>
      <c r="O86" s="7" t="str">
        <f>"1965"</f>
        <v>1965</v>
      </c>
      <c r="P86" s="4" t="str">
        <f>"46,00"</f>
        <v>46,00</v>
      </c>
      <c r="Q86" s="4" t="str">
        <f>"2022-2024"</f>
        <v>2022-2024</v>
      </c>
      <c r="R86" s="4" t="str">
        <f>"нет"</f>
        <v>нет</v>
      </c>
      <c r="S86" s="4" t="str">
        <f>""</f>
        <v/>
      </c>
      <c r="T86" s="4" t="str">
        <f>""</f>
        <v/>
      </c>
      <c r="U86" s="4" t="str">
        <f>"2022-2024"</f>
        <v>2022-2024</v>
      </c>
      <c r="V86" s="4" t="str">
        <f t="shared" si="75"/>
        <v>нет</v>
      </c>
      <c r="W86" s="4" t="str">
        <f>""</f>
        <v/>
      </c>
      <c r="X86" s="4" t="str">
        <f>""</f>
        <v/>
      </c>
      <c r="Y86" s="8" t="str">
        <f>""</f>
        <v/>
      </c>
      <c r="Z86" s="4" t="str">
        <f t="shared" ref="Z86:AJ86" si="84">"х"</f>
        <v>х</v>
      </c>
      <c r="AA86" s="4" t="str">
        <f t="shared" si="84"/>
        <v>х</v>
      </c>
      <c r="AB86" s="4" t="str">
        <f t="shared" si="84"/>
        <v>х</v>
      </c>
      <c r="AC86" s="4" t="str">
        <f t="shared" si="84"/>
        <v>х</v>
      </c>
      <c r="AD86" s="4" t="str">
        <f t="shared" si="84"/>
        <v>х</v>
      </c>
      <c r="AE86" s="4" t="str">
        <f t="shared" si="84"/>
        <v>х</v>
      </c>
      <c r="AF86" s="4" t="str">
        <f t="shared" si="84"/>
        <v>х</v>
      </c>
      <c r="AG86" s="4" t="str">
        <f t="shared" si="84"/>
        <v>х</v>
      </c>
      <c r="AH86" s="4" t="str">
        <f t="shared" si="84"/>
        <v>х</v>
      </c>
      <c r="AI86" s="4" t="str">
        <f t="shared" si="84"/>
        <v>х</v>
      </c>
      <c r="AJ86" s="4" t="str">
        <f t="shared" si="84"/>
        <v>х</v>
      </c>
      <c r="AK86" s="7" t="str">
        <f>"2012"</f>
        <v>2012</v>
      </c>
      <c r="AL86" s="4" t="str">
        <f>"0,00"</f>
        <v>0,00</v>
      </c>
      <c r="AM86" s="4" t="str">
        <f>"2042-2044"</f>
        <v>2042-2044</v>
      </c>
      <c r="AN86" s="4" t="str">
        <f t="shared" si="80"/>
        <v>да</v>
      </c>
      <c r="AO86" s="4" t="str">
        <f>"2012"</f>
        <v>2012</v>
      </c>
      <c r="AP86" s="4" t="str">
        <f>"16,00"</f>
        <v>16,00</v>
      </c>
      <c r="AQ86" s="4" t="str">
        <f>"2042-2044"</f>
        <v>2042-2044</v>
      </c>
      <c r="AR86" s="4" t="str">
        <f t="shared" si="76"/>
        <v>нет</v>
      </c>
      <c r="AS86" s="4" t="str">
        <f>""</f>
        <v/>
      </c>
      <c r="AT86" s="4" t="str">
        <f>""</f>
        <v/>
      </c>
      <c r="AU86" s="4" t="str">
        <f>""</f>
        <v/>
      </c>
      <c r="AV86" s="4" t="str">
        <f t="shared" si="82"/>
        <v>х</v>
      </c>
      <c r="AW86" s="4" t="str">
        <f t="shared" si="82"/>
        <v>х</v>
      </c>
      <c r="AX86" s="4" t="str">
        <f t="shared" si="82"/>
        <v>х</v>
      </c>
      <c r="AY86" s="4" t="str">
        <f t="shared" si="82"/>
        <v>х</v>
      </c>
      <c r="AZ86" s="4" t="str">
        <f t="shared" si="82"/>
        <v>х</v>
      </c>
      <c r="BA86" s="4" t="str">
        <f t="shared" si="82"/>
        <v>х</v>
      </c>
      <c r="BB86" s="4" t="str">
        <f t="shared" si="82"/>
        <v>х</v>
      </c>
      <c r="BC86" s="4" t="str">
        <f t="shared" si="82"/>
        <v>х</v>
      </c>
      <c r="BD86" s="4" t="str">
        <f t="shared" si="82"/>
        <v>х</v>
      </c>
      <c r="BE86" s="4" t="str">
        <f t="shared" si="82"/>
        <v>х</v>
      </c>
      <c r="BF86" s="4" t="str">
        <f t="shared" si="82"/>
        <v>х</v>
      </c>
      <c r="BG86" s="4" t="str">
        <f>"2012"</f>
        <v>2012</v>
      </c>
      <c r="BH86" s="4" t="str">
        <f>"0,00"</f>
        <v>0,00</v>
      </c>
      <c r="BI86" s="4" t="str">
        <f>"2042-2044"</f>
        <v>2042-2044</v>
      </c>
      <c r="BJ86" s="4" t="str">
        <f t="shared" si="77"/>
        <v>нет</v>
      </c>
      <c r="BK86" s="4" t="str">
        <f>""</f>
        <v/>
      </c>
      <c r="BL86" s="4" t="str">
        <f>""</f>
        <v/>
      </c>
      <c r="BM86" s="4" t="str">
        <f>""</f>
        <v/>
      </c>
      <c r="BN86" s="4" t="str">
        <f t="shared" si="78"/>
        <v>нет</v>
      </c>
      <c r="BO86" s="4" t="str">
        <f>""</f>
        <v/>
      </c>
      <c r="BP86" s="4" t="str">
        <f>""</f>
        <v/>
      </c>
      <c r="BQ86" s="4" t="str">
        <f>""</f>
        <v/>
      </c>
      <c r="BR86" s="4" t="str">
        <f>"1965"</f>
        <v>1965</v>
      </c>
      <c r="BS86" s="4" t="str">
        <f>"40,00"</f>
        <v>40,00</v>
      </c>
      <c r="BT86" s="4" t="str">
        <f>"2022-2024"</f>
        <v>2022-2024</v>
      </c>
      <c r="BU86" s="4" t="str">
        <f t="shared" si="73"/>
        <v>нет</v>
      </c>
      <c r="BV86" s="4" t="str">
        <f t="shared" si="70"/>
        <v>x</v>
      </c>
      <c r="BW86" s="4" t="str">
        <f t="shared" si="70"/>
        <v>x</v>
      </c>
      <c r="BX86" s="4" t="str">
        <f t="shared" si="70"/>
        <v>x</v>
      </c>
      <c r="BY86" s="4" t="str">
        <f t="shared" si="74"/>
        <v>нет</v>
      </c>
      <c r="BZ86" s="4" t="str">
        <f t="shared" si="71"/>
        <v>x</v>
      </c>
      <c r="CA86" s="4" t="str">
        <f t="shared" si="71"/>
        <v>x</v>
      </c>
      <c r="CB86" s="4" t="str">
        <f t="shared" si="71"/>
        <v>x</v>
      </c>
      <c r="CC86" s="4" t="str">
        <f>"1965"</f>
        <v>1965</v>
      </c>
      <c r="CD86" s="4" t="str">
        <f>"50,00"</f>
        <v>50,00</v>
      </c>
      <c r="CE86" s="4" t="str">
        <f>"2022-2024"</f>
        <v>2022-2024</v>
      </c>
      <c r="CF86" s="4" t="str">
        <f>"1965"</f>
        <v>1965</v>
      </c>
      <c r="CG86" s="4" t="str">
        <f>"40,00"</f>
        <v>40,00</v>
      </c>
      <c r="CH86" s="4" t="str">
        <f>"2022-2024"</f>
        <v>2022-2024</v>
      </c>
      <c r="CI86" s="4" t="str">
        <f>"46,00"</f>
        <v>46,00</v>
      </c>
      <c r="CJ86" s="4" t="str">
        <f>"2022-2024"</f>
        <v>2022-2024</v>
      </c>
    </row>
    <row r="87" spans="1:88" ht="11.25" customHeight="1">
      <c r="A87" s="45" t="str">
        <f>"24.74"</f>
        <v>24.74</v>
      </c>
      <c r="B87" s="46" t="str">
        <f>"г. Харовск, ул. Южная, д.2"</f>
        <v>г. Харовск, ул. Южная, д.2</v>
      </c>
      <c r="C87" s="6" t="str">
        <f>"1975"</f>
        <v>1975</v>
      </c>
      <c r="D87" s="4" t="str">
        <f>"1975"</f>
        <v>1975</v>
      </c>
      <c r="E87" s="4" t="str">
        <f>"45,00"</f>
        <v>45,00</v>
      </c>
      <c r="F87" s="4" t="str">
        <f>"2026-2028"</f>
        <v>2026-2028</v>
      </c>
      <c r="G87" s="4" t="str">
        <f t="shared" si="54"/>
        <v>нет</v>
      </c>
      <c r="H87" s="4" t="str">
        <f>""</f>
        <v/>
      </c>
      <c r="I87" s="4" t="str">
        <f>""</f>
        <v/>
      </c>
      <c r="J87" s="4" t="str">
        <f>""</f>
        <v/>
      </c>
      <c r="K87" s="4" t="str">
        <f t="shared" si="72"/>
        <v>нет</v>
      </c>
      <c r="L87" s="4" t="str">
        <f>""</f>
        <v/>
      </c>
      <c r="M87" s="4" t="str">
        <f>""</f>
        <v/>
      </c>
      <c r="N87" s="4" t="str">
        <f>""</f>
        <v/>
      </c>
      <c r="O87" s="7" t="str">
        <f>"1975"</f>
        <v>1975</v>
      </c>
      <c r="P87" s="4" t="str">
        <f>"45,00"</f>
        <v>45,00</v>
      </c>
      <c r="Q87" s="4" t="str">
        <f>"2026-2028"</f>
        <v>2026-2028</v>
      </c>
      <c r="R87" s="4" t="str">
        <f>"нет"</f>
        <v>нет</v>
      </c>
      <c r="S87" s="4" t="str">
        <f>""</f>
        <v/>
      </c>
      <c r="T87" s="4" t="str">
        <f>""</f>
        <v/>
      </c>
      <c r="U87" s="4" t="str">
        <f>""</f>
        <v/>
      </c>
      <c r="V87" s="4" t="str">
        <f t="shared" si="75"/>
        <v>нет</v>
      </c>
      <c r="W87" s="4" t="str">
        <f>""</f>
        <v/>
      </c>
      <c r="X87" s="4" t="str">
        <f>""</f>
        <v/>
      </c>
      <c r="Y87" s="8" t="str">
        <f>""</f>
        <v/>
      </c>
      <c r="Z87" s="4" t="str">
        <f>""</f>
        <v/>
      </c>
      <c r="AA87" s="4" t="str">
        <f>""</f>
        <v/>
      </c>
      <c r="AB87" s="4" t="str">
        <f>""</f>
        <v/>
      </c>
      <c r="AC87" s="4" t="str">
        <f>""</f>
        <v/>
      </c>
      <c r="AD87" s="4" t="str">
        <f>""</f>
        <v/>
      </c>
      <c r="AE87" s="4" t="str">
        <f>""</f>
        <v/>
      </c>
      <c r="AF87" s="4" t="str">
        <f>""</f>
        <v/>
      </c>
      <c r="AG87" s="4" t="str">
        <f>""</f>
        <v/>
      </c>
      <c r="AH87" s="4" t="str">
        <f>""</f>
        <v/>
      </c>
      <c r="AI87" s="4" t="str">
        <f>""</f>
        <v/>
      </c>
      <c r="AJ87" s="4" t="str">
        <f>""</f>
        <v/>
      </c>
      <c r="AK87" s="7" t="str">
        <f>"1975"</f>
        <v>1975</v>
      </c>
      <c r="AL87" s="4" t="str">
        <f>"45,00"</f>
        <v>45,00</v>
      </c>
      <c r="AM87" s="4" t="str">
        <f>"2026-2028"</f>
        <v>2026-2028</v>
      </c>
      <c r="AN87" s="4" t="str">
        <f>"нет"</f>
        <v>нет</v>
      </c>
      <c r="AO87" s="4" t="str">
        <f>""</f>
        <v/>
      </c>
      <c r="AP87" s="4" t="str">
        <f>""</f>
        <v/>
      </c>
      <c r="AQ87" s="4" t="str">
        <f>""</f>
        <v/>
      </c>
      <c r="AR87" s="4" t="str">
        <f t="shared" si="76"/>
        <v>нет</v>
      </c>
      <c r="AS87" s="4" t="str">
        <f>""</f>
        <v/>
      </c>
      <c r="AT87" s="4" t="str">
        <f>""</f>
        <v/>
      </c>
      <c r="AU87" s="4" t="str">
        <f>""</f>
        <v/>
      </c>
      <c r="AV87" s="4" t="str">
        <f>"1975"</f>
        <v>1975</v>
      </c>
      <c r="AW87" s="4" t="str">
        <f>"45,00"</f>
        <v>45,00</v>
      </c>
      <c r="AX87" s="4" t="str">
        <f>"2026-2028"</f>
        <v>2026-2028</v>
      </c>
      <c r="AY87" s="4" t="str">
        <f>"нет"</f>
        <v>нет</v>
      </c>
      <c r="AZ87" s="4" t="str">
        <f>""</f>
        <v/>
      </c>
      <c r="BA87" s="4" t="str">
        <f>""</f>
        <v/>
      </c>
      <c r="BB87" s="4" t="str">
        <f>""</f>
        <v/>
      </c>
      <c r="BC87" s="4" t="str">
        <f>"нет"</f>
        <v>нет</v>
      </c>
      <c r="BD87" s="4" t="str">
        <f>""</f>
        <v/>
      </c>
      <c r="BE87" s="4" t="str">
        <f>""</f>
        <v/>
      </c>
      <c r="BF87" s="4" t="str">
        <f>""</f>
        <v/>
      </c>
      <c r="BG87" s="4" t="str">
        <f>"1975"</f>
        <v>1975</v>
      </c>
      <c r="BH87" s="4" t="str">
        <f>"45,00"</f>
        <v>45,00</v>
      </c>
      <c r="BI87" s="4" t="str">
        <f>"2026-2028"</f>
        <v>2026-2028</v>
      </c>
      <c r="BJ87" s="4" t="str">
        <f t="shared" si="77"/>
        <v>нет</v>
      </c>
      <c r="BK87" s="4" t="str">
        <f>""</f>
        <v/>
      </c>
      <c r="BL87" s="4" t="str">
        <f>""</f>
        <v/>
      </c>
      <c r="BM87" s="4" t="str">
        <f>""</f>
        <v/>
      </c>
      <c r="BN87" s="4" t="str">
        <f t="shared" si="78"/>
        <v>нет</v>
      </c>
      <c r="BO87" s="4" t="str">
        <f>""</f>
        <v/>
      </c>
      <c r="BP87" s="4" t="str">
        <f>""</f>
        <v/>
      </c>
      <c r="BQ87" s="4" t="str">
        <f>""</f>
        <v/>
      </c>
      <c r="BR87" s="4" t="str">
        <f>"2012"</f>
        <v>2012</v>
      </c>
      <c r="BS87" s="4" t="str">
        <f>"0,00"</f>
        <v>0,00</v>
      </c>
      <c r="BT87" s="4" t="str">
        <f>"2026-2028"</f>
        <v>2026-2028</v>
      </c>
      <c r="BU87" s="4" t="str">
        <f t="shared" si="73"/>
        <v>нет</v>
      </c>
      <c r="BV87" s="4" t="str">
        <f t="shared" si="70"/>
        <v>x</v>
      </c>
      <c r="BW87" s="4" t="str">
        <f t="shared" si="70"/>
        <v>x</v>
      </c>
      <c r="BX87" s="4" t="str">
        <f t="shared" si="70"/>
        <v>x</v>
      </c>
      <c r="BY87" s="4" t="str">
        <f t="shared" si="74"/>
        <v>нет</v>
      </c>
      <c r="BZ87" s="4" t="str">
        <f t="shared" si="71"/>
        <v>x</v>
      </c>
      <c r="CA87" s="4" t="str">
        <f t="shared" si="71"/>
        <v>x</v>
      </c>
      <c r="CB87" s="4" t="str">
        <f t="shared" si="71"/>
        <v>x</v>
      </c>
      <c r="CC87" s="4" t="str">
        <f>"1975"</f>
        <v>1975</v>
      </c>
      <c r="CD87" s="4" t="str">
        <f>"45,00"</f>
        <v>45,00</v>
      </c>
      <c r="CE87" s="4" t="str">
        <f>"2026-2028"</f>
        <v>2026-2028</v>
      </c>
      <c r="CF87" s="4" t="str">
        <f>"1975"</f>
        <v>1975</v>
      </c>
      <c r="CG87" s="4" t="str">
        <f>"40,00"</f>
        <v>40,00</v>
      </c>
      <c r="CH87" s="4" t="str">
        <f>"2026-2028"</f>
        <v>2026-2028</v>
      </c>
      <c r="CI87" s="4" t="str">
        <f>"42,00"</f>
        <v>42,00</v>
      </c>
      <c r="CJ87" s="4" t="str">
        <f>"2026-2028"</f>
        <v>2026-2028</v>
      </c>
    </row>
    <row r="88" spans="1:88" ht="11.25" customHeight="1">
      <c r="A88" s="45" t="str">
        <f>"24.75"</f>
        <v>24.75</v>
      </c>
      <c r="B88" s="46" t="str">
        <f>"г. Харовск, ул. Южная, д.5"</f>
        <v>г. Харовск, ул. Южная, д.5</v>
      </c>
      <c r="C88" s="6" t="str">
        <f>"1964"</f>
        <v>1964</v>
      </c>
      <c r="D88" s="4" t="str">
        <f>"1964"</f>
        <v>1964</v>
      </c>
      <c r="E88" s="4" t="str">
        <f>"40,00"</f>
        <v>40,00</v>
      </c>
      <c r="F88" s="4" t="str">
        <f>"2021-2023"</f>
        <v>2021-2023</v>
      </c>
      <c r="G88" s="4" t="str">
        <f t="shared" si="54"/>
        <v>нет</v>
      </c>
      <c r="H88" s="4" t="str">
        <f>""</f>
        <v/>
      </c>
      <c r="I88" s="4" t="str">
        <f>""</f>
        <v/>
      </c>
      <c r="J88" s="4" t="str">
        <f>""</f>
        <v/>
      </c>
      <c r="K88" s="4" t="str">
        <f t="shared" si="72"/>
        <v>нет</v>
      </c>
      <c r="L88" s="4" t="str">
        <f>""</f>
        <v/>
      </c>
      <c r="M88" s="4" t="str">
        <f>""</f>
        <v/>
      </c>
      <c r="N88" s="4" t="str">
        <f>""</f>
        <v/>
      </c>
      <c r="O88" s="7" t="str">
        <f>"1964"</f>
        <v>1964</v>
      </c>
      <c r="P88" s="4" t="str">
        <f>"40,00"</f>
        <v>40,00</v>
      </c>
      <c r="Q88" s="4" t="str">
        <f>"2021-2023"</f>
        <v>2021-2023</v>
      </c>
      <c r="R88" s="4" t="str">
        <f>"нет"</f>
        <v>нет</v>
      </c>
      <c r="S88" s="4" t="str">
        <f>""</f>
        <v/>
      </c>
      <c r="T88" s="4" t="str">
        <f>""</f>
        <v/>
      </c>
      <c r="U88" s="4" t="str">
        <f>""</f>
        <v/>
      </c>
      <c r="V88" s="4" t="str">
        <f t="shared" si="75"/>
        <v>нет</v>
      </c>
      <c r="W88" s="4" t="str">
        <f>""</f>
        <v/>
      </c>
      <c r="X88" s="4" t="str">
        <f>""</f>
        <v/>
      </c>
      <c r="Y88" s="8" t="str">
        <f>""</f>
        <v/>
      </c>
      <c r="Z88" s="4" t="str">
        <f t="shared" ref="Z88:AJ95" si="85">"х"</f>
        <v>х</v>
      </c>
      <c r="AA88" s="4" t="str">
        <f t="shared" si="85"/>
        <v>х</v>
      </c>
      <c r="AB88" s="4" t="str">
        <f t="shared" si="85"/>
        <v>х</v>
      </c>
      <c r="AC88" s="4" t="str">
        <f t="shared" si="85"/>
        <v>х</v>
      </c>
      <c r="AD88" s="4" t="str">
        <f t="shared" si="85"/>
        <v>х</v>
      </c>
      <c r="AE88" s="4" t="str">
        <f t="shared" si="85"/>
        <v>х</v>
      </c>
      <c r="AF88" s="4" t="str">
        <f t="shared" si="85"/>
        <v>х</v>
      </c>
      <c r="AG88" s="4" t="str">
        <f t="shared" si="85"/>
        <v>х</v>
      </c>
      <c r="AH88" s="4" t="str">
        <f t="shared" si="85"/>
        <v>х</v>
      </c>
      <c r="AI88" s="4" t="str">
        <f t="shared" si="85"/>
        <v>х</v>
      </c>
      <c r="AJ88" s="4" t="str">
        <f t="shared" si="85"/>
        <v>х</v>
      </c>
      <c r="AK88" s="7" t="str">
        <f>"1964"</f>
        <v>1964</v>
      </c>
      <c r="AL88" s="4" t="str">
        <f>"40,00"</f>
        <v>40,00</v>
      </c>
      <c r="AM88" s="4" t="str">
        <f>"2021-2023"</f>
        <v>2021-2023</v>
      </c>
      <c r="AN88" s="4" t="str">
        <f>"нет"</f>
        <v>нет</v>
      </c>
      <c r="AO88" s="4" t="str">
        <f>""</f>
        <v/>
      </c>
      <c r="AP88" s="4" t="str">
        <f>""</f>
        <v/>
      </c>
      <c r="AQ88" s="4" t="str">
        <f>""</f>
        <v/>
      </c>
      <c r="AR88" s="4" t="str">
        <f t="shared" si="76"/>
        <v>нет</v>
      </c>
      <c r="AS88" s="4" t="str">
        <f>""</f>
        <v/>
      </c>
      <c r="AT88" s="4" t="str">
        <f>""</f>
        <v/>
      </c>
      <c r="AU88" s="4" t="str">
        <f>""</f>
        <v/>
      </c>
      <c r="AV88" s="4" t="str">
        <f t="shared" ref="AV88:BF88" si="86">"х"</f>
        <v>х</v>
      </c>
      <c r="AW88" s="4" t="str">
        <f t="shared" si="86"/>
        <v>х</v>
      </c>
      <c r="AX88" s="4" t="str">
        <f t="shared" si="86"/>
        <v>х</v>
      </c>
      <c r="AY88" s="4" t="str">
        <f t="shared" si="86"/>
        <v>х</v>
      </c>
      <c r="AZ88" s="4" t="str">
        <f t="shared" si="86"/>
        <v>х</v>
      </c>
      <c r="BA88" s="4" t="str">
        <f t="shared" si="86"/>
        <v>х</v>
      </c>
      <c r="BB88" s="4" t="str">
        <f t="shared" si="86"/>
        <v>х</v>
      </c>
      <c r="BC88" s="4" t="str">
        <f t="shared" si="86"/>
        <v>х</v>
      </c>
      <c r="BD88" s="4" t="str">
        <f t="shared" si="86"/>
        <v>х</v>
      </c>
      <c r="BE88" s="4" t="str">
        <f t="shared" si="86"/>
        <v>х</v>
      </c>
      <c r="BF88" s="4" t="str">
        <f t="shared" si="86"/>
        <v>х</v>
      </c>
      <c r="BG88" s="4" t="str">
        <f>"1964"</f>
        <v>1964</v>
      </c>
      <c r="BH88" s="4" t="str">
        <f>"40,00"</f>
        <v>40,00</v>
      </c>
      <c r="BI88" s="4" t="str">
        <f>"2021-2023"</f>
        <v>2021-2023</v>
      </c>
      <c r="BJ88" s="4" t="str">
        <f t="shared" si="77"/>
        <v>нет</v>
      </c>
      <c r="BK88" s="4" t="str">
        <f>""</f>
        <v/>
      </c>
      <c r="BL88" s="4" t="str">
        <f>""</f>
        <v/>
      </c>
      <c r="BM88" s="4" t="str">
        <f>""</f>
        <v/>
      </c>
      <c r="BN88" s="4" t="str">
        <f t="shared" si="78"/>
        <v>нет</v>
      </c>
      <c r="BO88" s="4" t="str">
        <f>""</f>
        <v/>
      </c>
      <c r="BP88" s="4" t="str">
        <f>""</f>
        <v/>
      </c>
      <c r="BQ88" s="4" t="str">
        <f>""</f>
        <v/>
      </c>
      <c r="BR88" s="4" t="str">
        <f>"1964"</f>
        <v>1964</v>
      </c>
      <c r="BS88" s="4" t="str">
        <f>"50,00"</f>
        <v>50,00</v>
      </c>
      <c r="BT88" s="4" t="str">
        <f>"2021-2023"</f>
        <v>2021-2023</v>
      </c>
      <c r="BU88" s="4" t="str">
        <f t="shared" si="73"/>
        <v>нет</v>
      </c>
      <c r="BV88" s="4" t="str">
        <f t="shared" si="70"/>
        <v>x</v>
      </c>
      <c r="BW88" s="4" t="str">
        <f t="shared" si="70"/>
        <v>x</v>
      </c>
      <c r="BX88" s="4" t="str">
        <f t="shared" si="70"/>
        <v>x</v>
      </c>
      <c r="BY88" s="4" t="str">
        <f t="shared" si="74"/>
        <v>нет</v>
      </c>
      <c r="BZ88" s="4" t="str">
        <f t="shared" si="71"/>
        <v>x</v>
      </c>
      <c r="CA88" s="4" t="str">
        <f t="shared" si="71"/>
        <v>x</v>
      </c>
      <c r="CB88" s="4" t="str">
        <f t="shared" si="71"/>
        <v>x</v>
      </c>
      <c r="CC88" s="4" t="str">
        <f>"1964"</f>
        <v>1964</v>
      </c>
      <c r="CD88" s="4" t="str">
        <f>"45,00"</f>
        <v>45,00</v>
      </c>
      <c r="CE88" s="4" t="str">
        <f>"2021-2023"</f>
        <v>2021-2023</v>
      </c>
      <c r="CF88" s="4" t="str">
        <f>"1964"</f>
        <v>1964</v>
      </c>
      <c r="CG88" s="4" t="str">
        <f>"40,00"</f>
        <v>40,00</v>
      </c>
      <c r="CH88" s="4" t="str">
        <f>"2044-2046"</f>
        <v>2044-2046</v>
      </c>
      <c r="CI88" s="4" t="str">
        <f>"45,00"</f>
        <v>45,00</v>
      </c>
      <c r="CJ88" s="4" t="str">
        <f>"2021-2023"</f>
        <v>2021-2023</v>
      </c>
    </row>
    <row r="89" spans="1:88" ht="11.25" customHeight="1">
      <c r="A89" s="45" t="str">
        <f>"24.76"</f>
        <v>24.76</v>
      </c>
      <c r="B89" s="46" t="str">
        <f>"г. Харовск, ул. Южная, д.6"</f>
        <v>г. Харовск, ул. Южная, д.6</v>
      </c>
      <c r="C89" s="6" t="str">
        <f>"1964"</f>
        <v>1964</v>
      </c>
      <c r="D89" s="4" t="str">
        <f>"1964"</f>
        <v>1964</v>
      </c>
      <c r="E89" s="4" t="str">
        <f>"35,00"</f>
        <v>35,00</v>
      </c>
      <c r="F89" s="4" t="str">
        <f>"2021-2023"</f>
        <v>2021-2023</v>
      </c>
      <c r="G89" s="4" t="str">
        <f t="shared" si="54"/>
        <v>нет</v>
      </c>
      <c r="H89" s="4" t="str">
        <f>""</f>
        <v/>
      </c>
      <c r="I89" s="4" t="str">
        <f>""</f>
        <v/>
      </c>
      <c r="J89" s="4" t="str">
        <f>""</f>
        <v/>
      </c>
      <c r="K89" s="4" t="str">
        <f t="shared" si="72"/>
        <v>нет</v>
      </c>
      <c r="L89" s="4" t="str">
        <f>""</f>
        <v/>
      </c>
      <c r="M89" s="4" t="str">
        <f>""</f>
        <v/>
      </c>
      <c r="N89" s="4" t="str">
        <f>""</f>
        <v/>
      </c>
      <c r="O89" s="7" t="str">
        <f>"1964"</f>
        <v>1964</v>
      </c>
      <c r="P89" s="4" t="str">
        <f>"35,00"</f>
        <v>35,00</v>
      </c>
      <c r="Q89" s="4" t="str">
        <f>"2021-2023"</f>
        <v>2021-2023</v>
      </c>
      <c r="R89" s="4" t="str">
        <f>"нет"</f>
        <v>нет</v>
      </c>
      <c r="S89" s="4" t="str">
        <f>""</f>
        <v/>
      </c>
      <c r="T89" s="4" t="str">
        <f>""</f>
        <v/>
      </c>
      <c r="U89" s="4" t="str">
        <f>""</f>
        <v/>
      </c>
      <c r="V89" s="4" t="str">
        <f t="shared" si="75"/>
        <v>нет</v>
      </c>
      <c r="W89" s="4" t="str">
        <f>""</f>
        <v/>
      </c>
      <c r="X89" s="4" t="str">
        <f>""</f>
        <v/>
      </c>
      <c r="Y89" s="8" t="str">
        <f>""</f>
        <v/>
      </c>
      <c r="Z89" s="4" t="str">
        <f t="shared" si="85"/>
        <v>х</v>
      </c>
      <c r="AA89" s="4" t="str">
        <f t="shared" si="85"/>
        <v>х</v>
      </c>
      <c r="AB89" s="4" t="str">
        <f t="shared" si="85"/>
        <v>х</v>
      </c>
      <c r="AC89" s="4" t="str">
        <f t="shared" si="85"/>
        <v>х</v>
      </c>
      <c r="AD89" s="4" t="str">
        <f t="shared" si="85"/>
        <v>х</v>
      </c>
      <c r="AE89" s="4" t="str">
        <f t="shared" si="85"/>
        <v>х</v>
      </c>
      <c r="AF89" s="4" t="str">
        <f t="shared" si="85"/>
        <v>х</v>
      </c>
      <c r="AG89" s="4" t="str">
        <f t="shared" si="85"/>
        <v>х</v>
      </c>
      <c r="AH89" s="4" t="str">
        <f t="shared" si="85"/>
        <v>х</v>
      </c>
      <c r="AI89" s="4" t="str">
        <f t="shared" si="85"/>
        <v>х</v>
      </c>
      <c r="AJ89" s="4" t="str">
        <f t="shared" si="85"/>
        <v>х</v>
      </c>
      <c r="AK89" s="7" t="str">
        <f>"1964"</f>
        <v>1964</v>
      </c>
      <c r="AL89" s="4" t="str">
        <f>"35,00"</f>
        <v>35,00</v>
      </c>
      <c r="AM89" s="4" t="str">
        <f>"2021-2023"</f>
        <v>2021-2023</v>
      </c>
      <c r="AN89" s="4" t="str">
        <f>"нет"</f>
        <v>нет</v>
      </c>
      <c r="AO89" s="4" t="str">
        <f>""</f>
        <v/>
      </c>
      <c r="AP89" s="4" t="str">
        <f>""</f>
        <v/>
      </c>
      <c r="AQ89" s="4" t="str">
        <f>""</f>
        <v/>
      </c>
      <c r="AR89" s="4" t="str">
        <f t="shared" si="76"/>
        <v>нет</v>
      </c>
      <c r="AS89" s="4" t="str">
        <f>""</f>
        <v/>
      </c>
      <c r="AT89" s="4" t="str">
        <f>""</f>
        <v/>
      </c>
      <c r="AU89" s="4" t="str">
        <f>""</f>
        <v/>
      </c>
      <c r="AV89" s="4" t="str">
        <f>""</f>
        <v/>
      </c>
      <c r="AW89" s="4" t="str">
        <f>""</f>
        <v/>
      </c>
      <c r="AX89" s="4" t="str">
        <f>""</f>
        <v/>
      </c>
      <c r="AY89" s="4" t="str">
        <f>""</f>
        <v/>
      </c>
      <c r="AZ89" s="4" t="str">
        <f>""</f>
        <v/>
      </c>
      <c r="BA89" s="4" t="str">
        <f>""</f>
        <v/>
      </c>
      <c r="BB89" s="4" t="str">
        <f>""</f>
        <v/>
      </c>
      <c r="BC89" s="4" t="str">
        <f>""</f>
        <v/>
      </c>
      <c r="BD89" s="4" t="str">
        <f>""</f>
        <v/>
      </c>
      <c r="BE89" s="4" t="str">
        <f>""</f>
        <v/>
      </c>
      <c r="BF89" s="4" t="str">
        <f>""</f>
        <v/>
      </c>
      <c r="BG89" s="4" t="str">
        <f>"1964"</f>
        <v>1964</v>
      </c>
      <c r="BH89" s="4" t="str">
        <f>"35,00"</f>
        <v>35,00</v>
      </c>
      <c r="BI89" s="4" t="str">
        <f>"2021-2023"</f>
        <v>2021-2023</v>
      </c>
      <c r="BJ89" s="4" t="str">
        <f t="shared" si="77"/>
        <v>нет</v>
      </c>
      <c r="BK89" s="4" t="str">
        <f>""</f>
        <v/>
      </c>
      <c r="BL89" s="4" t="str">
        <f>""</f>
        <v/>
      </c>
      <c r="BM89" s="4" t="str">
        <f>""</f>
        <v/>
      </c>
      <c r="BN89" s="4" t="str">
        <f t="shared" si="78"/>
        <v>нет</v>
      </c>
      <c r="BO89" s="4" t="str">
        <f>""</f>
        <v/>
      </c>
      <c r="BP89" s="4" t="str">
        <f>""</f>
        <v/>
      </c>
      <c r="BQ89" s="4" t="str">
        <f>""</f>
        <v/>
      </c>
      <c r="BR89" s="4" t="str">
        <f>"1964"</f>
        <v>1964</v>
      </c>
      <c r="BS89" s="4" t="str">
        <f>"55,00"</f>
        <v>55,00</v>
      </c>
      <c r="BT89" s="4" t="str">
        <f>"2021-2023"</f>
        <v>2021-2023</v>
      </c>
      <c r="BU89" s="4" t="str">
        <f t="shared" si="73"/>
        <v>нет</v>
      </c>
      <c r="BV89" s="4" t="str">
        <f t="shared" si="70"/>
        <v>x</v>
      </c>
      <c r="BW89" s="4" t="str">
        <f t="shared" si="70"/>
        <v>x</v>
      </c>
      <c r="BX89" s="4" t="str">
        <f t="shared" si="70"/>
        <v>x</v>
      </c>
      <c r="BY89" s="4" t="str">
        <f t="shared" si="74"/>
        <v>нет</v>
      </c>
      <c r="BZ89" s="4" t="str">
        <f t="shared" si="71"/>
        <v>x</v>
      </c>
      <c r="CA89" s="4" t="str">
        <f t="shared" si="71"/>
        <v>x</v>
      </c>
      <c r="CB89" s="4" t="str">
        <f t="shared" si="71"/>
        <v>x</v>
      </c>
      <c r="CC89" s="4" t="str">
        <f>"1964"</f>
        <v>1964</v>
      </c>
      <c r="CD89" s="4" t="str">
        <f>"40,00"</f>
        <v>40,00</v>
      </c>
      <c r="CE89" s="4" t="str">
        <f>"2021-2023"</f>
        <v>2021-2023</v>
      </c>
      <c r="CF89" s="4" t="str">
        <f>"1964"</f>
        <v>1964</v>
      </c>
      <c r="CG89" s="4" t="str">
        <f>"40,00"</f>
        <v>40,00</v>
      </c>
      <c r="CH89" s="4" t="str">
        <f>"2044-2046"</f>
        <v>2044-2046</v>
      </c>
      <c r="CI89" s="4" t="str">
        <f>"39,00"</f>
        <v>39,00</v>
      </c>
      <c r="CJ89" s="4" t="str">
        <f>"2021-2023"</f>
        <v>2021-2023</v>
      </c>
    </row>
    <row r="90" spans="1:88" ht="11.25" customHeight="1">
      <c r="A90" s="45" t="str">
        <f>"24.77"</f>
        <v>24.77</v>
      </c>
      <c r="B90" s="46" t="str">
        <f>"г. Харовск, ул. Южная, д.8"</f>
        <v>г. Харовск, ул. Южная, д.8</v>
      </c>
      <c r="C90" s="6" t="str">
        <f>"1969"</f>
        <v>1969</v>
      </c>
      <c r="D90" s="4" t="str">
        <f>"1969"</f>
        <v>1969</v>
      </c>
      <c r="E90" s="4" t="str">
        <f>"35,00"</f>
        <v>35,00</v>
      </c>
      <c r="F90" s="4" t="str">
        <f>"2023-2025"</f>
        <v>2023-2025</v>
      </c>
      <c r="G90" s="4" t="str">
        <f t="shared" si="54"/>
        <v>нет</v>
      </c>
      <c r="H90" s="4" t="str">
        <f>""</f>
        <v/>
      </c>
      <c r="I90" s="4" t="str">
        <f>""</f>
        <v/>
      </c>
      <c r="J90" s="4" t="str">
        <f>""</f>
        <v/>
      </c>
      <c r="K90" s="4" t="str">
        <f t="shared" si="72"/>
        <v>нет</v>
      </c>
      <c r="L90" s="4" t="str">
        <f>""</f>
        <v/>
      </c>
      <c r="M90" s="4" t="str">
        <f>""</f>
        <v/>
      </c>
      <c r="N90" s="4" t="str">
        <f>""</f>
        <v/>
      </c>
      <c r="O90" s="7" t="str">
        <f>"1969"</f>
        <v>1969</v>
      </c>
      <c r="P90" s="4" t="str">
        <f>"35,00"</f>
        <v>35,00</v>
      </c>
      <c r="Q90" s="4" t="str">
        <f>"2023-2025"</f>
        <v>2023-2025</v>
      </c>
      <c r="R90" s="4" t="str">
        <f>"нет"</f>
        <v>нет</v>
      </c>
      <c r="S90" s="4" t="str">
        <f>""</f>
        <v/>
      </c>
      <c r="T90" s="4" t="str">
        <f>""</f>
        <v/>
      </c>
      <c r="U90" s="4" t="str">
        <f>""</f>
        <v/>
      </c>
      <c r="V90" s="4" t="str">
        <f t="shared" si="75"/>
        <v>нет</v>
      </c>
      <c r="W90" s="4" t="str">
        <f>""</f>
        <v/>
      </c>
      <c r="X90" s="4" t="str">
        <f>""</f>
        <v/>
      </c>
      <c r="Y90" s="8" t="str">
        <f>""</f>
        <v/>
      </c>
      <c r="Z90" s="4" t="str">
        <f t="shared" si="85"/>
        <v>х</v>
      </c>
      <c r="AA90" s="4" t="str">
        <f t="shared" si="85"/>
        <v>х</v>
      </c>
      <c r="AB90" s="4" t="str">
        <f t="shared" si="85"/>
        <v>х</v>
      </c>
      <c r="AC90" s="4" t="str">
        <f t="shared" si="85"/>
        <v>х</v>
      </c>
      <c r="AD90" s="4" t="str">
        <f t="shared" si="85"/>
        <v>х</v>
      </c>
      <c r="AE90" s="4" t="str">
        <f t="shared" si="85"/>
        <v>х</v>
      </c>
      <c r="AF90" s="4" t="str">
        <f t="shared" si="85"/>
        <v>х</v>
      </c>
      <c r="AG90" s="4" t="str">
        <f t="shared" si="85"/>
        <v>х</v>
      </c>
      <c r="AH90" s="4" t="str">
        <f t="shared" si="85"/>
        <v>х</v>
      </c>
      <c r="AI90" s="4" t="str">
        <f t="shared" si="85"/>
        <v>х</v>
      </c>
      <c r="AJ90" s="4" t="str">
        <f t="shared" si="85"/>
        <v>х</v>
      </c>
      <c r="AK90" s="7" t="str">
        <f>"1969"</f>
        <v>1969</v>
      </c>
      <c r="AL90" s="4" t="str">
        <f>"35,00"</f>
        <v>35,00</v>
      </c>
      <c r="AM90" s="4" t="str">
        <f>"2023-2025"</f>
        <v>2023-2025</v>
      </c>
      <c r="AN90" s="4" t="str">
        <f>"нет"</f>
        <v>нет</v>
      </c>
      <c r="AO90" s="4" t="str">
        <f>""</f>
        <v/>
      </c>
      <c r="AP90" s="4" t="str">
        <f>""</f>
        <v/>
      </c>
      <c r="AQ90" s="4" t="str">
        <f>""</f>
        <v/>
      </c>
      <c r="AR90" s="4" t="str">
        <f t="shared" si="76"/>
        <v>нет</v>
      </c>
      <c r="AS90" s="4" t="str">
        <f>""</f>
        <v/>
      </c>
      <c r="AT90" s="4" t="str">
        <f>""</f>
        <v/>
      </c>
      <c r="AU90" s="4" t="str">
        <f>""</f>
        <v/>
      </c>
      <c r="AV90" s="4" t="str">
        <f>""</f>
        <v/>
      </c>
      <c r="AW90" s="4" t="str">
        <f>""</f>
        <v/>
      </c>
      <c r="AX90" s="4" t="str">
        <f>""</f>
        <v/>
      </c>
      <c r="AY90" s="4" t="str">
        <f>""</f>
        <v/>
      </c>
      <c r="AZ90" s="4" t="str">
        <f>""</f>
        <v/>
      </c>
      <c r="BA90" s="4" t="str">
        <f>""</f>
        <v/>
      </c>
      <c r="BB90" s="4" t="str">
        <f>""</f>
        <v/>
      </c>
      <c r="BC90" s="4" t="str">
        <f>""</f>
        <v/>
      </c>
      <c r="BD90" s="4" t="str">
        <f>""</f>
        <v/>
      </c>
      <c r="BE90" s="4" t="str">
        <f>""</f>
        <v/>
      </c>
      <c r="BF90" s="4" t="str">
        <f>""</f>
        <v/>
      </c>
      <c r="BG90" s="4" t="str">
        <f>"1969"</f>
        <v>1969</v>
      </c>
      <c r="BH90" s="4" t="str">
        <f>"35,00"</f>
        <v>35,00</v>
      </c>
      <c r="BI90" s="4" t="str">
        <f>"2023-2025"</f>
        <v>2023-2025</v>
      </c>
      <c r="BJ90" s="4" t="str">
        <f t="shared" si="77"/>
        <v>нет</v>
      </c>
      <c r="BK90" s="4" t="str">
        <f>""</f>
        <v/>
      </c>
      <c r="BL90" s="4" t="str">
        <f>""</f>
        <v/>
      </c>
      <c r="BM90" s="4" t="str">
        <f>""</f>
        <v/>
      </c>
      <c r="BN90" s="4" t="str">
        <f t="shared" si="78"/>
        <v>нет</v>
      </c>
      <c r="BO90" s="4" t="str">
        <f>""</f>
        <v/>
      </c>
      <c r="BP90" s="4" t="str">
        <f>""</f>
        <v/>
      </c>
      <c r="BQ90" s="4" t="str">
        <f>""</f>
        <v/>
      </c>
      <c r="BR90" s="4" t="str">
        <f>"1969"</f>
        <v>1969</v>
      </c>
      <c r="BS90" s="4" t="str">
        <f>"60,00"</f>
        <v>60,00</v>
      </c>
      <c r="BT90" s="4" t="str">
        <f>"2023-2025"</f>
        <v>2023-2025</v>
      </c>
      <c r="BU90" s="4" t="str">
        <f t="shared" si="73"/>
        <v>нет</v>
      </c>
      <c r="BV90" s="4" t="str">
        <f t="shared" si="70"/>
        <v>x</v>
      </c>
      <c r="BW90" s="4" t="str">
        <f t="shared" si="70"/>
        <v>x</v>
      </c>
      <c r="BX90" s="4" t="str">
        <f t="shared" si="70"/>
        <v>x</v>
      </c>
      <c r="BY90" s="4" t="str">
        <f t="shared" si="74"/>
        <v>нет</v>
      </c>
      <c r="BZ90" s="4" t="str">
        <f t="shared" si="71"/>
        <v>x</v>
      </c>
      <c r="CA90" s="4" t="str">
        <f t="shared" si="71"/>
        <v>x</v>
      </c>
      <c r="CB90" s="4" t="str">
        <f t="shared" si="71"/>
        <v>x</v>
      </c>
      <c r="CC90" s="4" t="str">
        <f>"1969"</f>
        <v>1969</v>
      </c>
      <c r="CD90" s="4" t="str">
        <f>"40,00"</f>
        <v>40,00</v>
      </c>
      <c r="CE90" s="4" t="str">
        <f>"2023-2025"</f>
        <v>2023-2025</v>
      </c>
      <c r="CF90" s="4" t="str">
        <f>"1969"</f>
        <v>1969</v>
      </c>
      <c r="CG90" s="4" t="str">
        <f>"40,00"</f>
        <v>40,00</v>
      </c>
      <c r="CH90" s="4" t="str">
        <f>"2042-2044"</f>
        <v>2042-2044</v>
      </c>
      <c r="CI90" s="4" t="str">
        <f>"38,00"</f>
        <v>38,00</v>
      </c>
      <c r="CJ90" s="4" t="str">
        <f>"2023-2025"</f>
        <v>2023-2025</v>
      </c>
    </row>
    <row r="91" spans="1:88" ht="11.25" customHeight="1">
      <c r="A91" s="45" t="str">
        <f>"24.78"</f>
        <v>24.78</v>
      </c>
      <c r="B91" s="46" t="str">
        <f>"г. Харовск, ул.Архангельская, д.12"</f>
        <v>г. Харовск, ул.Архангельская, д.12</v>
      </c>
      <c r="C91" s="6" t="str">
        <f>"1936"</f>
        <v>1936</v>
      </c>
      <c r="D91" s="4" t="str">
        <f>"1936"</f>
        <v>1936</v>
      </c>
      <c r="E91" s="4" t="str">
        <f>"45,00"</f>
        <v>45,00</v>
      </c>
      <c r="F91" s="4" t="str">
        <f>"2016-2018"</f>
        <v>2016-2018</v>
      </c>
      <c r="G91" s="4" t="str">
        <f t="shared" si="54"/>
        <v>нет</v>
      </c>
      <c r="H91" s="4" t="str">
        <f>""</f>
        <v/>
      </c>
      <c r="I91" s="4" t="str">
        <f>""</f>
        <v/>
      </c>
      <c r="J91" s="4" t="str">
        <f>""</f>
        <v/>
      </c>
      <c r="K91" s="4" t="str">
        <f t="shared" si="72"/>
        <v>нет</v>
      </c>
      <c r="L91" s="4" t="str">
        <f>""</f>
        <v/>
      </c>
      <c r="M91" s="4" t="str">
        <f>""</f>
        <v/>
      </c>
      <c r="N91" s="4" t="str">
        <f>""</f>
        <v/>
      </c>
      <c r="O91" s="7" t="str">
        <f t="shared" ref="O91:Y94" si="87">"х"</f>
        <v>х</v>
      </c>
      <c r="P91" s="4" t="str">
        <f t="shared" si="87"/>
        <v>х</v>
      </c>
      <c r="Q91" s="4" t="str">
        <f t="shared" si="87"/>
        <v>х</v>
      </c>
      <c r="R91" s="4" t="str">
        <f t="shared" si="87"/>
        <v>х</v>
      </c>
      <c r="S91" s="4" t="str">
        <f t="shared" si="87"/>
        <v>х</v>
      </c>
      <c r="T91" s="4" t="str">
        <f t="shared" si="87"/>
        <v>х</v>
      </c>
      <c r="U91" s="4" t="str">
        <f t="shared" si="87"/>
        <v>х</v>
      </c>
      <c r="V91" s="4" t="str">
        <f t="shared" si="87"/>
        <v>х</v>
      </c>
      <c r="W91" s="4" t="str">
        <f t="shared" si="87"/>
        <v>х</v>
      </c>
      <c r="X91" s="4" t="str">
        <f t="shared" si="87"/>
        <v>х</v>
      </c>
      <c r="Y91" s="8" t="str">
        <f t="shared" si="87"/>
        <v>х</v>
      </c>
      <c r="Z91" s="4" t="str">
        <f t="shared" si="85"/>
        <v>х</v>
      </c>
      <c r="AA91" s="4" t="str">
        <f t="shared" si="85"/>
        <v>х</v>
      </c>
      <c r="AB91" s="4" t="str">
        <f t="shared" si="85"/>
        <v>х</v>
      </c>
      <c r="AC91" s="4" t="str">
        <f t="shared" si="85"/>
        <v>х</v>
      </c>
      <c r="AD91" s="4" t="str">
        <f t="shared" si="85"/>
        <v>х</v>
      </c>
      <c r="AE91" s="4" t="str">
        <f t="shared" si="85"/>
        <v>х</v>
      </c>
      <c r="AF91" s="4" t="str">
        <f t="shared" si="85"/>
        <v>х</v>
      </c>
      <c r="AG91" s="4" t="str">
        <f t="shared" si="85"/>
        <v>х</v>
      </c>
      <c r="AH91" s="4" t="str">
        <f t="shared" si="85"/>
        <v>х</v>
      </c>
      <c r="AI91" s="4" t="str">
        <f t="shared" si="85"/>
        <v>х</v>
      </c>
      <c r="AJ91" s="4" t="str">
        <f t="shared" si="85"/>
        <v>х</v>
      </c>
      <c r="AK91" s="7" t="str">
        <f t="shared" ref="AK91:AT94" si="88">"х"</f>
        <v>х</v>
      </c>
      <c r="AL91" s="4" t="str">
        <f t="shared" si="88"/>
        <v>х</v>
      </c>
      <c r="AM91" s="4" t="str">
        <f t="shared" si="88"/>
        <v>х</v>
      </c>
      <c r="AN91" s="4" t="str">
        <f t="shared" si="88"/>
        <v>х</v>
      </c>
      <c r="AO91" s="4" t="str">
        <f t="shared" si="88"/>
        <v>х</v>
      </c>
      <c r="AP91" s="4" t="str">
        <f t="shared" si="88"/>
        <v>х</v>
      </c>
      <c r="AQ91" s="4" t="str">
        <f t="shared" si="88"/>
        <v>х</v>
      </c>
      <c r="AR91" s="4" t="str">
        <f t="shared" si="88"/>
        <v>х</v>
      </c>
      <c r="AS91" s="4" t="str">
        <f t="shared" si="88"/>
        <v>х</v>
      </c>
      <c r="AT91" s="4" t="str">
        <f t="shared" si="88"/>
        <v>х</v>
      </c>
      <c r="AU91" s="4" t="str">
        <f t="shared" ref="AU91:BH94" si="89">"х"</f>
        <v>х</v>
      </c>
      <c r="AV91" s="4" t="str">
        <f t="shared" si="89"/>
        <v>х</v>
      </c>
      <c r="AW91" s="4" t="str">
        <f t="shared" si="89"/>
        <v>х</v>
      </c>
      <c r="AX91" s="4" t="str">
        <f t="shared" si="89"/>
        <v>х</v>
      </c>
      <c r="AY91" s="4" t="str">
        <f t="shared" si="89"/>
        <v>х</v>
      </c>
      <c r="AZ91" s="4" t="str">
        <f t="shared" si="89"/>
        <v>х</v>
      </c>
      <c r="BA91" s="4" t="str">
        <f t="shared" si="89"/>
        <v>х</v>
      </c>
      <c r="BB91" s="4" t="str">
        <f t="shared" si="89"/>
        <v>х</v>
      </c>
      <c r="BC91" s="4" t="str">
        <f t="shared" si="89"/>
        <v>х</v>
      </c>
      <c r="BD91" s="4" t="str">
        <f t="shared" si="89"/>
        <v>х</v>
      </c>
      <c r="BE91" s="4" t="str">
        <f t="shared" si="89"/>
        <v>х</v>
      </c>
      <c r="BF91" s="4" t="str">
        <f t="shared" si="89"/>
        <v>х</v>
      </c>
      <c r="BG91" s="4" t="str">
        <f t="shared" si="89"/>
        <v>х</v>
      </c>
      <c r="BH91" s="4" t="str">
        <f t="shared" si="89"/>
        <v>х</v>
      </c>
      <c r="BI91" s="4" t="str">
        <f>"2016-2018"</f>
        <v>2016-2018</v>
      </c>
      <c r="BJ91" s="4" t="str">
        <f t="shared" ref="BJ91:BQ94" si="90">"х"</f>
        <v>х</v>
      </c>
      <c r="BK91" s="4" t="str">
        <f t="shared" si="90"/>
        <v>х</v>
      </c>
      <c r="BL91" s="4" t="str">
        <f t="shared" si="90"/>
        <v>х</v>
      </c>
      <c r="BM91" s="4" t="str">
        <f t="shared" si="90"/>
        <v>х</v>
      </c>
      <c r="BN91" s="4" t="str">
        <f t="shared" si="90"/>
        <v>х</v>
      </c>
      <c r="BO91" s="4" t="str">
        <f t="shared" si="90"/>
        <v>х</v>
      </c>
      <c r="BP91" s="4" t="str">
        <f t="shared" si="90"/>
        <v>х</v>
      </c>
      <c r="BQ91" s="4" t="str">
        <f t="shared" si="90"/>
        <v>х</v>
      </c>
      <c r="BR91" s="4" t="str">
        <f>"1936"</f>
        <v>1936</v>
      </c>
      <c r="BS91" s="4" t="str">
        <f>"50,00"</f>
        <v>50,00</v>
      </c>
      <c r="BT91" s="4" t="str">
        <f>"2016-2018"</f>
        <v>2016-2018</v>
      </c>
      <c r="BU91" s="4" t="str">
        <f t="shared" si="73"/>
        <v>нет</v>
      </c>
      <c r="BV91" s="4" t="str">
        <f t="shared" si="70"/>
        <v>x</v>
      </c>
      <c r="BW91" s="4" t="str">
        <f t="shared" si="70"/>
        <v>x</v>
      </c>
      <c r="BX91" s="4" t="str">
        <f t="shared" si="70"/>
        <v>x</v>
      </c>
      <c r="BY91" s="4" t="str">
        <f t="shared" si="74"/>
        <v>нет</v>
      </c>
      <c r="BZ91" s="4" t="str">
        <f t="shared" si="71"/>
        <v>x</v>
      </c>
      <c r="CA91" s="4" t="str">
        <f t="shared" si="71"/>
        <v>x</v>
      </c>
      <c r="CB91" s="4" t="str">
        <f t="shared" si="71"/>
        <v>x</v>
      </c>
      <c r="CC91" s="4" t="str">
        <f>"1936"</f>
        <v>1936</v>
      </c>
      <c r="CD91" s="4" t="str">
        <f>"40,00"</f>
        <v>40,00</v>
      </c>
      <c r="CE91" s="4" t="str">
        <f>"2025-2027"</f>
        <v>2025-2027</v>
      </c>
      <c r="CF91" s="4" t="str">
        <f>"1936"</f>
        <v>1936</v>
      </c>
      <c r="CG91" s="4" t="str">
        <f>"45,00"</f>
        <v>45,00</v>
      </c>
      <c r="CH91" s="4" t="str">
        <f>"2025-2027"</f>
        <v>2025-2027</v>
      </c>
      <c r="CI91" s="4" t="str">
        <f>"51,00"</f>
        <v>51,00</v>
      </c>
      <c r="CJ91" s="4" t="str">
        <f>"2016-2018"</f>
        <v>2016-2018</v>
      </c>
    </row>
    <row r="92" spans="1:88" ht="11.25" customHeight="1">
      <c r="A92" s="45" t="str">
        <f>"24.79"</f>
        <v>24.79</v>
      </c>
      <c r="B92" s="46" t="str">
        <f>"г. Харовск, ул.Архангельская, д.14"</f>
        <v>г. Харовск, ул.Архангельская, д.14</v>
      </c>
      <c r="C92" s="6" t="str">
        <f>"1932"</f>
        <v>1932</v>
      </c>
      <c r="D92" s="4" t="str">
        <f>"1932"</f>
        <v>1932</v>
      </c>
      <c r="E92" s="4" t="str">
        <f>"50,00"</f>
        <v>50,00</v>
      </c>
      <c r="F92" s="4" t="str">
        <f>"2025-2027"</f>
        <v>2025-2027</v>
      </c>
      <c r="G92" s="4" t="str">
        <f>"да"</f>
        <v>да</v>
      </c>
      <c r="H92" s="4" t="str">
        <f>"2012"</f>
        <v>2012</v>
      </c>
      <c r="I92" s="4" t="str">
        <f>"12,50"</f>
        <v>12,50</v>
      </c>
      <c r="J92" s="4" t="str">
        <f>"2025-2027"</f>
        <v>2025-2027</v>
      </c>
      <c r="K92" s="4" t="str">
        <f t="shared" si="72"/>
        <v>нет</v>
      </c>
      <c r="L92" s="4" t="str">
        <f>""</f>
        <v/>
      </c>
      <c r="M92" s="4" t="str">
        <f>""</f>
        <v/>
      </c>
      <c r="N92" s="4" t="str">
        <f>""</f>
        <v/>
      </c>
      <c r="O92" s="7" t="str">
        <f t="shared" si="87"/>
        <v>х</v>
      </c>
      <c r="P92" s="4" t="str">
        <f t="shared" si="87"/>
        <v>х</v>
      </c>
      <c r="Q92" s="4" t="str">
        <f t="shared" si="87"/>
        <v>х</v>
      </c>
      <c r="R92" s="4" t="str">
        <f t="shared" si="87"/>
        <v>х</v>
      </c>
      <c r="S92" s="4" t="str">
        <f t="shared" si="87"/>
        <v>х</v>
      </c>
      <c r="T92" s="4" t="str">
        <f t="shared" si="87"/>
        <v>х</v>
      </c>
      <c r="U92" s="4" t="str">
        <f t="shared" si="87"/>
        <v>х</v>
      </c>
      <c r="V92" s="4" t="str">
        <f t="shared" si="87"/>
        <v>х</v>
      </c>
      <c r="W92" s="4" t="str">
        <f t="shared" si="87"/>
        <v>х</v>
      </c>
      <c r="X92" s="4" t="str">
        <f t="shared" si="87"/>
        <v>х</v>
      </c>
      <c r="Y92" s="8" t="str">
        <f t="shared" si="87"/>
        <v>х</v>
      </c>
      <c r="Z92" s="4" t="str">
        <f t="shared" si="85"/>
        <v>х</v>
      </c>
      <c r="AA92" s="4" t="str">
        <f t="shared" si="85"/>
        <v>х</v>
      </c>
      <c r="AB92" s="4" t="str">
        <f t="shared" si="85"/>
        <v>х</v>
      </c>
      <c r="AC92" s="4" t="str">
        <f t="shared" si="85"/>
        <v>х</v>
      </c>
      <c r="AD92" s="4" t="str">
        <f t="shared" si="85"/>
        <v>х</v>
      </c>
      <c r="AE92" s="4" t="str">
        <f t="shared" si="85"/>
        <v>х</v>
      </c>
      <c r="AF92" s="4" t="str">
        <f t="shared" si="85"/>
        <v>х</v>
      </c>
      <c r="AG92" s="4" t="str">
        <f t="shared" si="85"/>
        <v>х</v>
      </c>
      <c r="AH92" s="4" t="str">
        <f t="shared" si="85"/>
        <v>х</v>
      </c>
      <c r="AI92" s="4" t="str">
        <f t="shared" si="85"/>
        <v>х</v>
      </c>
      <c r="AJ92" s="4" t="str">
        <f t="shared" si="85"/>
        <v>х</v>
      </c>
      <c r="AK92" s="7" t="str">
        <f t="shared" si="88"/>
        <v>х</v>
      </c>
      <c r="AL92" s="4" t="str">
        <f t="shared" si="88"/>
        <v>х</v>
      </c>
      <c r="AM92" s="4" t="str">
        <f t="shared" si="88"/>
        <v>х</v>
      </c>
      <c r="AN92" s="4" t="str">
        <f t="shared" si="88"/>
        <v>х</v>
      </c>
      <c r="AO92" s="4" t="str">
        <f t="shared" si="88"/>
        <v>х</v>
      </c>
      <c r="AP92" s="4" t="str">
        <f t="shared" si="88"/>
        <v>х</v>
      </c>
      <c r="AQ92" s="4" t="str">
        <f t="shared" si="88"/>
        <v>х</v>
      </c>
      <c r="AR92" s="4" t="str">
        <f t="shared" si="88"/>
        <v>х</v>
      </c>
      <c r="AS92" s="4" t="str">
        <f t="shared" si="88"/>
        <v>х</v>
      </c>
      <c r="AT92" s="4" t="str">
        <f t="shared" si="88"/>
        <v>х</v>
      </c>
      <c r="AU92" s="4" t="str">
        <f t="shared" si="89"/>
        <v>х</v>
      </c>
      <c r="AV92" s="4" t="str">
        <f t="shared" si="89"/>
        <v>х</v>
      </c>
      <c r="AW92" s="4" t="str">
        <f t="shared" si="89"/>
        <v>х</v>
      </c>
      <c r="AX92" s="4" t="str">
        <f t="shared" si="89"/>
        <v>х</v>
      </c>
      <c r="AY92" s="4" t="str">
        <f t="shared" si="89"/>
        <v>х</v>
      </c>
      <c r="AZ92" s="4" t="str">
        <f t="shared" si="89"/>
        <v>х</v>
      </c>
      <c r="BA92" s="4" t="str">
        <f t="shared" si="89"/>
        <v>х</v>
      </c>
      <c r="BB92" s="4" t="str">
        <f t="shared" si="89"/>
        <v>х</v>
      </c>
      <c r="BC92" s="4" t="str">
        <f t="shared" si="89"/>
        <v>х</v>
      </c>
      <c r="BD92" s="4" t="str">
        <f t="shared" si="89"/>
        <v>х</v>
      </c>
      <c r="BE92" s="4" t="str">
        <f t="shared" si="89"/>
        <v>х</v>
      </c>
      <c r="BF92" s="4" t="str">
        <f t="shared" si="89"/>
        <v>х</v>
      </c>
      <c r="BG92" s="4" t="str">
        <f t="shared" si="89"/>
        <v>х</v>
      </c>
      <c r="BH92" s="4" t="str">
        <f t="shared" si="89"/>
        <v>х</v>
      </c>
      <c r="BI92" s="4" t="str">
        <f>"2016-2018"</f>
        <v>2016-2018</v>
      </c>
      <c r="BJ92" s="4" t="str">
        <f t="shared" si="90"/>
        <v>х</v>
      </c>
      <c r="BK92" s="4" t="str">
        <f t="shared" si="90"/>
        <v>х</v>
      </c>
      <c r="BL92" s="4" t="str">
        <f t="shared" si="90"/>
        <v>х</v>
      </c>
      <c r="BM92" s="4" t="str">
        <f t="shared" si="90"/>
        <v>х</v>
      </c>
      <c r="BN92" s="4" t="str">
        <f t="shared" si="90"/>
        <v>х</v>
      </c>
      <c r="BO92" s="4" t="str">
        <f t="shared" si="90"/>
        <v>х</v>
      </c>
      <c r="BP92" s="4" t="str">
        <f t="shared" si="90"/>
        <v>х</v>
      </c>
      <c r="BQ92" s="4" t="str">
        <f t="shared" si="90"/>
        <v>х</v>
      </c>
      <c r="BR92" s="4" t="str">
        <f>"1932"</f>
        <v>1932</v>
      </c>
      <c r="BS92" s="4" t="str">
        <f>"55,00"</f>
        <v>55,00</v>
      </c>
      <c r="BT92" s="4" t="str">
        <f>"2025-2027"</f>
        <v>2025-2027</v>
      </c>
      <c r="BU92" s="4" t="str">
        <f t="shared" si="73"/>
        <v>нет</v>
      </c>
      <c r="BV92" s="4" t="str">
        <f t="shared" si="70"/>
        <v>x</v>
      </c>
      <c r="BW92" s="4" t="str">
        <f t="shared" si="70"/>
        <v>x</v>
      </c>
      <c r="BX92" s="4" t="str">
        <f t="shared" si="70"/>
        <v>x</v>
      </c>
      <c r="BY92" s="4" t="str">
        <f t="shared" si="74"/>
        <v>нет</v>
      </c>
      <c r="BZ92" s="4" t="str">
        <f t="shared" si="71"/>
        <v>x</v>
      </c>
      <c r="CA92" s="4" t="str">
        <f t="shared" si="71"/>
        <v>x</v>
      </c>
      <c r="CB92" s="4" t="str">
        <f t="shared" si="71"/>
        <v>x</v>
      </c>
      <c r="CC92" s="4" t="str">
        <f>"1932"</f>
        <v>1932</v>
      </c>
      <c r="CD92" s="4" t="str">
        <f>"50,00"</f>
        <v>50,00</v>
      </c>
      <c r="CE92" s="4" t="str">
        <f>"2016-2018"</f>
        <v>2016-2018</v>
      </c>
      <c r="CF92" s="4" t="str">
        <f>"1932"</f>
        <v>1932</v>
      </c>
      <c r="CG92" s="4" t="str">
        <f>"55,00"</f>
        <v>55,00</v>
      </c>
      <c r="CH92" s="4" t="str">
        <f>"2016-2018"</f>
        <v>2016-2018</v>
      </c>
      <c r="CI92" s="4" t="str">
        <f>"52,00"</f>
        <v>52,00</v>
      </c>
      <c r="CJ92" s="4" t="str">
        <f>"2016-2018"</f>
        <v>2016-2018</v>
      </c>
    </row>
    <row r="93" spans="1:88" ht="11.25" customHeight="1">
      <c r="A93" s="45" t="str">
        <f>"24.80"</f>
        <v>24.80</v>
      </c>
      <c r="B93" s="46" t="str">
        <f>"г. Харовск, ул.Архангельская, д.18"</f>
        <v>г. Харовск, ул.Архангельская, д.18</v>
      </c>
      <c r="C93" s="6" t="str">
        <f>"1918"</f>
        <v>1918</v>
      </c>
      <c r="D93" s="4" t="str">
        <f>"1918"</f>
        <v>1918</v>
      </c>
      <c r="E93" s="4" t="str">
        <f>"45,00"</f>
        <v>45,00</v>
      </c>
      <c r="F93" s="4" t="str">
        <f>"2020-2022"</f>
        <v>2020-2022</v>
      </c>
      <c r="G93" s="4" t="str">
        <f>"да"</f>
        <v>да</v>
      </c>
      <c r="H93" s="4" t="str">
        <f>"2012"</f>
        <v>2012</v>
      </c>
      <c r="I93" s="4" t="str">
        <f>"12,50"</f>
        <v>12,50</v>
      </c>
      <c r="J93" s="4" t="str">
        <f>"2020-2022"</f>
        <v>2020-2022</v>
      </c>
      <c r="K93" s="4" t="str">
        <f t="shared" si="72"/>
        <v>нет</v>
      </c>
      <c r="L93" s="4" t="str">
        <f>""</f>
        <v/>
      </c>
      <c r="M93" s="4" t="str">
        <f>""</f>
        <v/>
      </c>
      <c r="N93" s="4" t="str">
        <f>""</f>
        <v/>
      </c>
      <c r="O93" s="7" t="str">
        <f t="shared" si="87"/>
        <v>х</v>
      </c>
      <c r="P93" s="4" t="str">
        <f t="shared" si="87"/>
        <v>х</v>
      </c>
      <c r="Q93" s="4" t="str">
        <f t="shared" si="87"/>
        <v>х</v>
      </c>
      <c r="R93" s="4" t="str">
        <f t="shared" si="87"/>
        <v>х</v>
      </c>
      <c r="S93" s="4" t="str">
        <f t="shared" si="87"/>
        <v>х</v>
      </c>
      <c r="T93" s="4" t="str">
        <f t="shared" si="87"/>
        <v>х</v>
      </c>
      <c r="U93" s="4" t="str">
        <f t="shared" si="87"/>
        <v>х</v>
      </c>
      <c r="V93" s="4" t="str">
        <f t="shared" si="87"/>
        <v>х</v>
      </c>
      <c r="W93" s="4" t="str">
        <f t="shared" si="87"/>
        <v>х</v>
      </c>
      <c r="X93" s="4" t="str">
        <f t="shared" si="87"/>
        <v>х</v>
      </c>
      <c r="Y93" s="8" t="str">
        <f t="shared" si="87"/>
        <v>х</v>
      </c>
      <c r="Z93" s="4" t="str">
        <f t="shared" si="85"/>
        <v>х</v>
      </c>
      <c r="AA93" s="4" t="str">
        <f t="shared" si="85"/>
        <v>х</v>
      </c>
      <c r="AB93" s="4" t="str">
        <f t="shared" si="85"/>
        <v>х</v>
      </c>
      <c r="AC93" s="4" t="str">
        <f t="shared" si="85"/>
        <v>х</v>
      </c>
      <c r="AD93" s="4" t="str">
        <f t="shared" si="85"/>
        <v>х</v>
      </c>
      <c r="AE93" s="4" t="str">
        <f t="shared" si="85"/>
        <v>х</v>
      </c>
      <c r="AF93" s="4" t="str">
        <f t="shared" si="85"/>
        <v>х</v>
      </c>
      <c r="AG93" s="4" t="str">
        <f t="shared" si="85"/>
        <v>х</v>
      </c>
      <c r="AH93" s="4" t="str">
        <f t="shared" si="85"/>
        <v>х</v>
      </c>
      <c r="AI93" s="4" t="str">
        <f t="shared" si="85"/>
        <v>х</v>
      </c>
      <c r="AJ93" s="4" t="str">
        <f t="shared" si="85"/>
        <v>х</v>
      </c>
      <c r="AK93" s="7" t="str">
        <f t="shared" si="88"/>
        <v>х</v>
      </c>
      <c r="AL93" s="4" t="str">
        <f t="shared" si="88"/>
        <v>х</v>
      </c>
      <c r="AM93" s="4" t="str">
        <f t="shared" si="88"/>
        <v>х</v>
      </c>
      <c r="AN93" s="4" t="str">
        <f t="shared" si="88"/>
        <v>х</v>
      </c>
      <c r="AO93" s="4" t="str">
        <f t="shared" si="88"/>
        <v>х</v>
      </c>
      <c r="AP93" s="4" t="str">
        <f t="shared" si="88"/>
        <v>х</v>
      </c>
      <c r="AQ93" s="4" t="str">
        <f t="shared" si="88"/>
        <v>х</v>
      </c>
      <c r="AR93" s="4" t="str">
        <f t="shared" si="88"/>
        <v>х</v>
      </c>
      <c r="AS93" s="4" t="str">
        <f t="shared" si="88"/>
        <v>х</v>
      </c>
      <c r="AT93" s="4" t="str">
        <f t="shared" si="88"/>
        <v>х</v>
      </c>
      <c r="AU93" s="4" t="str">
        <f t="shared" si="89"/>
        <v>х</v>
      </c>
      <c r="AV93" s="4" t="str">
        <f t="shared" si="89"/>
        <v>х</v>
      </c>
      <c r="AW93" s="4" t="str">
        <f t="shared" si="89"/>
        <v>х</v>
      </c>
      <c r="AX93" s="4" t="str">
        <f t="shared" si="89"/>
        <v>х</v>
      </c>
      <c r="AY93" s="4" t="str">
        <f t="shared" si="89"/>
        <v>х</v>
      </c>
      <c r="AZ93" s="4" t="str">
        <f t="shared" si="89"/>
        <v>х</v>
      </c>
      <c r="BA93" s="4" t="str">
        <f t="shared" si="89"/>
        <v>х</v>
      </c>
      <c r="BB93" s="4" t="str">
        <f t="shared" si="89"/>
        <v>х</v>
      </c>
      <c r="BC93" s="4" t="str">
        <f t="shared" si="89"/>
        <v>х</v>
      </c>
      <c r="BD93" s="4" t="str">
        <f t="shared" si="89"/>
        <v>х</v>
      </c>
      <c r="BE93" s="4" t="str">
        <f t="shared" si="89"/>
        <v>х</v>
      </c>
      <c r="BF93" s="4" t="str">
        <f t="shared" si="89"/>
        <v>х</v>
      </c>
      <c r="BG93" s="4" t="str">
        <f t="shared" si="89"/>
        <v>х</v>
      </c>
      <c r="BH93" s="4" t="str">
        <f t="shared" si="89"/>
        <v>х</v>
      </c>
      <c r="BI93" s="4" t="str">
        <f>"2016-2018"</f>
        <v>2016-2018</v>
      </c>
      <c r="BJ93" s="4" t="str">
        <f t="shared" si="90"/>
        <v>х</v>
      </c>
      <c r="BK93" s="4" t="str">
        <f t="shared" si="90"/>
        <v>х</v>
      </c>
      <c r="BL93" s="4" t="str">
        <f t="shared" si="90"/>
        <v>х</v>
      </c>
      <c r="BM93" s="4" t="str">
        <f t="shared" si="90"/>
        <v>х</v>
      </c>
      <c r="BN93" s="4" t="str">
        <f t="shared" si="90"/>
        <v>х</v>
      </c>
      <c r="BO93" s="4" t="str">
        <f t="shared" si="90"/>
        <v>х</v>
      </c>
      <c r="BP93" s="4" t="str">
        <f t="shared" si="90"/>
        <v>х</v>
      </c>
      <c r="BQ93" s="4" t="str">
        <f t="shared" si="90"/>
        <v>х</v>
      </c>
      <c r="BR93" s="4" t="str">
        <f>"1918"</f>
        <v>1918</v>
      </c>
      <c r="BS93" s="4" t="str">
        <f>"50,00"</f>
        <v>50,00</v>
      </c>
      <c r="BT93" s="4" t="str">
        <f>"2020-2022"</f>
        <v>2020-2022</v>
      </c>
      <c r="BU93" s="4" t="str">
        <f t="shared" si="73"/>
        <v>нет</v>
      </c>
      <c r="BV93" s="4" t="str">
        <f t="shared" si="70"/>
        <v>x</v>
      </c>
      <c r="BW93" s="4" t="str">
        <f t="shared" si="70"/>
        <v>x</v>
      </c>
      <c r="BX93" s="4" t="str">
        <f t="shared" si="70"/>
        <v>x</v>
      </c>
      <c r="BY93" s="4" t="str">
        <f t="shared" si="74"/>
        <v>нет</v>
      </c>
      <c r="BZ93" s="4" t="str">
        <f t="shared" si="71"/>
        <v>x</v>
      </c>
      <c r="CA93" s="4" t="str">
        <f t="shared" si="71"/>
        <v>x</v>
      </c>
      <c r="CB93" s="4" t="str">
        <f t="shared" si="71"/>
        <v>x</v>
      </c>
      <c r="CC93" s="4" t="str">
        <f>"1918"</f>
        <v>1918</v>
      </c>
      <c r="CD93" s="4" t="str">
        <f>"40,00"</f>
        <v>40,00</v>
      </c>
      <c r="CE93" s="4" t="str">
        <f>"2016-2018"</f>
        <v>2016-2018</v>
      </c>
      <c r="CF93" s="4" t="str">
        <f>"1918"</f>
        <v>1918</v>
      </c>
      <c r="CG93" s="4" t="str">
        <f>"60,00"</f>
        <v>60,00</v>
      </c>
      <c r="CH93" s="4" t="str">
        <f>"2016-2018"</f>
        <v>2016-2018</v>
      </c>
      <c r="CI93" s="4" t="str">
        <f>"51,00"</f>
        <v>51,00</v>
      </c>
      <c r="CJ93" s="4" t="str">
        <f>"2016-2018"</f>
        <v>2016-2018</v>
      </c>
    </row>
    <row r="94" spans="1:88" ht="11.25" customHeight="1">
      <c r="A94" s="45" t="str">
        <f>"24.81"</f>
        <v>24.81</v>
      </c>
      <c r="B94" s="46" t="str">
        <f>"г. Харовск, ул.Архангельская, д.2"</f>
        <v>г. Харовск, ул.Архангельская, д.2</v>
      </c>
      <c r="C94" s="6" t="str">
        <f>"1961"</f>
        <v>1961</v>
      </c>
      <c r="D94" s="4" t="str">
        <f>"1961"</f>
        <v>1961</v>
      </c>
      <c r="E94" s="4" t="str">
        <f>"50,00"</f>
        <v>50,00</v>
      </c>
      <c r="F94" s="4" t="str">
        <f>"2020-2022"</f>
        <v>2020-2022</v>
      </c>
      <c r="G94" s="4" t="str">
        <f t="shared" ref="G94:G126" si="91">"нет"</f>
        <v>нет</v>
      </c>
      <c r="H94" s="4" t="str">
        <f>""</f>
        <v/>
      </c>
      <c r="I94" s="4" t="str">
        <f>""</f>
        <v/>
      </c>
      <c r="J94" s="4" t="str">
        <f>""</f>
        <v/>
      </c>
      <c r="K94" s="4" t="str">
        <f t="shared" si="72"/>
        <v>нет</v>
      </c>
      <c r="L94" s="4" t="str">
        <f>""</f>
        <v/>
      </c>
      <c r="M94" s="4" t="str">
        <f>""</f>
        <v/>
      </c>
      <c r="N94" s="4" t="str">
        <f>""</f>
        <v/>
      </c>
      <c r="O94" s="7" t="str">
        <f t="shared" si="87"/>
        <v>х</v>
      </c>
      <c r="P94" s="4" t="str">
        <f t="shared" si="87"/>
        <v>х</v>
      </c>
      <c r="Q94" s="4" t="str">
        <f t="shared" si="87"/>
        <v>х</v>
      </c>
      <c r="R94" s="4" t="str">
        <f t="shared" si="87"/>
        <v>х</v>
      </c>
      <c r="S94" s="4" t="str">
        <f t="shared" si="87"/>
        <v>х</v>
      </c>
      <c r="T94" s="4" t="str">
        <f t="shared" si="87"/>
        <v>х</v>
      </c>
      <c r="U94" s="4" t="str">
        <f t="shared" si="87"/>
        <v>х</v>
      </c>
      <c r="V94" s="4" t="str">
        <f t="shared" si="87"/>
        <v>х</v>
      </c>
      <c r="W94" s="4" t="str">
        <f t="shared" si="87"/>
        <v>х</v>
      </c>
      <c r="X94" s="4" t="str">
        <f t="shared" si="87"/>
        <v>х</v>
      </c>
      <c r="Y94" s="8" t="str">
        <f t="shared" si="87"/>
        <v>х</v>
      </c>
      <c r="Z94" s="4" t="str">
        <f t="shared" si="85"/>
        <v>х</v>
      </c>
      <c r="AA94" s="4" t="str">
        <f t="shared" si="85"/>
        <v>х</v>
      </c>
      <c r="AB94" s="4" t="str">
        <f t="shared" si="85"/>
        <v>х</v>
      </c>
      <c r="AC94" s="4" t="str">
        <f t="shared" si="85"/>
        <v>х</v>
      </c>
      <c r="AD94" s="4" t="str">
        <f t="shared" si="85"/>
        <v>х</v>
      </c>
      <c r="AE94" s="4" t="str">
        <f t="shared" si="85"/>
        <v>х</v>
      </c>
      <c r="AF94" s="4" t="str">
        <f t="shared" si="85"/>
        <v>х</v>
      </c>
      <c r="AG94" s="4" t="str">
        <f t="shared" si="85"/>
        <v>х</v>
      </c>
      <c r="AH94" s="4" t="str">
        <f t="shared" si="85"/>
        <v>х</v>
      </c>
      <c r="AI94" s="4" t="str">
        <f t="shared" si="85"/>
        <v>х</v>
      </c>
      <c r="AJ94" s="4" t="str">
        <f t="shared" si="85"/>
        <v>х</v>
      </c>
      <c r="AK94" s="7" t="str">
        <f t="shared" si="88"/>
        <v>х</v>
      </c>
      <c r="AL94" s="4" t="str">
        <f t="shared" si="88"/>
        <v>х</v>
      </c>
      <c r="AM94" s="4" t="str">
        <f t="shared" si="88"/>
        <v>х</v>
      </c>
      <c r="AN94" s="4" t="str">
        <f t="shared" si="88"/>
        <v>х</v>
      </c>
      <c r="AO94" s="4" t="str">
        <f t="shared" si="88"/>
        <v>х</v>
      </c>
      <c r="AP94" s="4" t="str">
        <f t="shared" si="88"/>
        <v>х</v>
      </c>
      <c r="AQ94" s="4" t="str">
        <f t="shared" si="88"/>
        <v>х</v>
      </c>
      <c r="AR94" s="4" t="str">
        <f t="shared" si="88"/>
        <v>х</v>
      </c>
      <c r="AS94" s="4" t="str">
        <f t="shared" si="88"/>
        <v>х</v>
      </c>
      <c r="AT94" s="4" t="str">
        <f t="shared" si="88"/>
        <v>х</v>
      </c>
      <c r="AU94" s="4" t="str">
        <f t="shared" si="89"/>
        <v>х</v>
      </c>
      <c r="AV94" s="4" t="str">
        <f t="shared" si="89"/>
        <v>х</v>
      </c>
      <c r="AW94" s="4" t="str">
        <f t="shared" si="89"/>
        <v>х</v>
      </c>
      <c r="AX94" s="4" t="str">
        <f t="shared" si="89"/>
        <v>х</v>
      </c>
      <c r="AY94" s="4" t="str">
        <f t="shared" si="89"/>
        <v>х</v>
      </c>
      <c r="AZ94" s="4" t="str">
        <f t="shared" si="89"/>
        <v>х</v>
      </c>
      <c r="BA94" s="4" t="str">
        <f t="shared" si="89"/>
        <v>х</v>
      </c>
      <c r="BB94" s="4" t="str">
        <f t="shared" si="89"/>
        <v>х</v>
      </c>
      <c r="BC94" s="4" t="str">
        <f t="shared" si="89"/>
        <v>х</v>
      </c>
      <c r="BD94" s="4" t="str">
        <f t="shared" si="89"/>
        <v>х</v>
      </c>
      <c r="BE94" s="4" t="str">
        <f t="shared" si="89"/>
        <v>х</v>
      </c>
      <c r="BF94" s="4" t="str">
        <f t="shared" si="89"/>
        <v>х</v>
      </c>
      <c r="BG94" s="4" t="str">
        <f t="shared" si="89"/>
        <v>х</v>
      </c>
      <c r="BH94" s="4" t="str">
        <f t="shared" si="89"/>
        <v>х</v>
      </c>
      <c r="BI94" s="4" t="str">
        <f>"х"</f>
        <v>х</v>
      </c>
      <c r="BJ94" s="4" t="str">
        <f t="shared" si="90"/>
        <v>х</v>
      </c>
      <c r="BK94" s="4" t="str">
        <f t="shared" si="90"/>
        <v>х</v>
      </c>
      <c r="BL94" s="4" t="str">
        <f t="shared" si="90"/>
        <v>х</v>
      </c>
      <c r="BM94" s="4" t="str">
        <f t="shared" si="90"/>
        <v>х</v>
      </c>
      <c r="BN94" s="4" t="str">
        <f t="shared" si="90"/>
        <v>х</v>
      </c>
      <c r="BO94" s="4" t="str">
        <f t="shared" si="90"/>
        <v>х</v>
      </c>
      <c r="BP94" s="4" t="str">
        <f t="shared" si="90"/>
        <v>х</v>
      </c>
      <c r="BQ94" s="4" t="str">
        <f t="shared" si="90"/>
        <v>х</v>
      </c>
      <c r="BR94" s="4" t="str">
        <f>"1961"</f>
        <v>1961</v>
      </c>
      <c r="BS94" s="4" t="str">
        <f>"40,00"</f>
        <v>40,00</v>
      </c>
      <c r="BT94" s="4" t="str">
        <f>"2020-2022"</f>
        <v>2020-2022</v>
      </c>
      <c r="BU94" s="4" t="str">
        <f t="shared" si="73"/>
        <v>нет</v>
      </c>
      <c r="BV94" s="4" t="str">
        <f t="shared" ref="BV94:BX113" si="92">"x"</f>
        <v>x</v>
      </c>
      <c r="BW94" s="4" t="str">
        <f t="shared" si="92"/>
        <v>x</v>
      </c>
      <c r="BX94" s="4" t="str">
        <f t="shared" si="92"/>
        <v>x</v>
      </c>
      <c r="BY94" s="4" t="str">
        <f t="shared" si="74"/>
        <v>нет</v>
      </c>
      <c r="BZ94" s="4" t="str">
        <f t="shared" ref="BZ94:CB113" si="93">"x"</f>
        <v>x</v>
      </c>
      <c r="CA94" s="4" t="str">
        <f t="shared" si="93"/>
        <v>x</v>
      </c>
      <c r="CB94" s="4" t="str">
        <f t="shared" si="93"/>
        <v>x</v>
      </c>
      <c r="CC94" s="4" t="str">
        <f>"1961"</f>
        <v>1961</v>
      </c>
      <c r="CD94" s="4" t="str">
        <f>"30,00"</f>
        <v>30,00</v>
      </c>
      <c r="CE94" s="4" t="str">
        <f>"2020-2022"</f>
        <v>2020-2022</v>
      </c>
      <c r="CF94" s="4" t="str">
        <f>"1961"</f>
        <v>1961</v>
      </c>
      <c r="CG94" s="4" t="str">
        <f>"35,00"</f>
        <v>35,00</v>
      </c>
      <c r="CH94" s="4" t="str">
        <f>"2020-2022"</f>
        <v>2020-2022</v>
      </c>
      <c r="CI94" s="4" t="str">
        <f>"40,00"</f>
        <v>40,00</v>
      </c>
      <c r="CJ94" s="4" t="str">
        <f>"2020-2022"</f>
        <v>2020-2022</v>
      </c>
    </row>
    <row r="95" spans="1:88" ht="11.25" customHeight="1">
      <c r="A95" s="45" t="str">
        <f>"24.82"</f>
        <v>24.82</v>
      </c>
      <c r="B95" s="46" t="str">
        <f>"г. Харовск, ул.Архангельская, д.37"</f>
        <v>г. Харовск, ул.Архангельская, д.37</v>
      </c>
      <c r="C95" s="6" t="str">
        <f>"1999"</f>
        <v>1999</v>
      </c>
      <c r="D95" s="4" t="str">
        <f>"1999"</f>
        <v>1999</v>
      </c>
      <c r="E95" s="4" t="str">
        <f>"15,00"</f>
        <v>15,00</v>
      </c>
      <c r="F95" s="4" t="str">
        <f>"2036-2038"</f>
        <v>2036-2038</v>
      </c>
      <c r="G95" s="4" t="str">
        <f t="shared" si="91"/>
        <v>нет</v>
      </c>
      <c r="H95" s="4" t="str">
        <f>""</f>
        <v/>
      </c>
      <c r="I95" s="4" t="str">
        <f>""</f>
        <v/>
      </c>
      <c r="J95" s="4" t="str">
        <f>""</f>
        <v/>
      </c>
      <c r="K95" s="4" t="str">
        <f t="shared" si="72"/>
        <v>нет</v>
      </c>
      <c r="L95" s="4" t="str">
        <f>""</f>
        <v/>
      </c>
      <c r="M95" s="4" t="str">
        <f>""</f>
        <v/>
      </c>
      <c r="N95" s="4" t="str">
        <f>""</f>
        <v/>
      </c>
      <c r="O95" s="7" t="str">
        <f>"1999"</f>
        <v>1999</v>
      </c>
      <c r="P95" s="4" t="str">
        <f>"15,00"</f>
        <v>15,00</v>
      </c>
      <c r="Q95" s="4" t="str">
        <f>"2036-2038"</f>
        <v>2036-2038</v>
      </c>
      <c r="R95" s="4" t="str">
        <f>"нет"</f>
        <v>нет</v>
      </c>
      <c r="S95" s="4" t="str">
        <f>""</f>
        <v/>
      </c>
      <c r="T95" s="4" t="str">
        <f>""</f>
        <v/>
      </c>
      <c r="U95" s="4" t="str">
        <f>""</f>
        <v/>
      </c>
      <c r="V95" s="4" t="str">
        <f t="shared" ref="V95:V105" si="94">"нет"</f>
        <v>нет</v>
      </c>
      <c r="W95" s="4" t="str">
        <f>""</f>
        <v/>
      </c>
      <c r="X95" s="4" t="str">
        <f>""</f>
        <v/>
      </c>
      <c r="Y95" s="8" t="str">
        <f>""</f>
        <v/>
      </c>
      <c r="Z95" s="4" t="str">
        <f t="shared" si="85"/>
        <v>х</v>
      </c>
      <c r="AA95" s="4" t="str">
        <f t="shared" si="85"/>
        <v>х</v>
      </c>
      <c r="AB95" s="4" t="str">
        <f t="shared" si="85"/>
        <v>х</v>
      </c>
      <c r="AC95" s="4" t="str">
        <f t="shared" si="85"/>
        <v>х</v>
      </c>
      <c r="AD95" s="4" t="str">
        <f t="shared" si="85"/>
        <v>х</v>
      </c>
      <c r="AE95" s="4" t="str">
        <f t="shared" si="85"/>
        <v>х</v>
      </c>
      <c r="AF95" s="4" t="str">
        <f t="shared" si="85"/>
        <v>х</v>
      </c>
      <c r="AG95" s="4" t="str">
        <f t="shared" si="85"/>
        <v>х</v>
      </c>
      <c r="AH95" s="4" t="str">
        <f t="shared" si="85"/>
        <v>х</v>
      </c>
      <c r="AI95" s="4" t="str">
        <f t="shared" si="85"/>
        <v>х</v>
      </c>
      <c r="AJ95" s="4" t="str">
        <f t="shared" si="85"/>
        <v>х</v>
      </c>
      <c r="AK95" s="7" t="str">
        <f>"1999"</f>
        <v>1999</v>
      </c>
      <c r="AL95" s="4" t="str">
        <f>"15,00"</f>
        <v>15,00</v>
      </c>
      <c r="AM95" s="4" t="str">
        <f>"2036-2038"</f>
        <v>2036-2038</v>
      </c>
      <c r="AN95" s="4" t="str">
        <f>"да"</f>
        <v>да</v>
      </c>
      <c r="AO95" s="4" t="str">
        <f>"2008"</f>
        <v>2008</v>
      </c>
      <c r="AP95" s="4" t="str">
        <f>"83,35"</f>
        <v>83,35</v>
      </c>
      <c r="AQ95" s="4" t="str">
        <f>"2036-2038"</f>
        <v>2036-2038</v>
      </c>
      <c r="AR95" s="4" t="str">
        <f t="shared" ref="AR95:AR107" si="95">"нет"</f>
        <v>нет</v>
      </c>
      <c r="AS95" s="4" t="str">
        <f>""</f>
        <v/>
      </c>
      <c r="AT95" s="4" t="str">
        <f>""</f>
        <v/>
      </c>
      <c r="AU95" s="4" t="str">
        <f>""</f>
        <v/>
      </c>
      <c r="AV95" s="4" t="str">
        <f>"1999"</f>
        <v>1999</v>
      </c>
      <c r="AW95" s="4" t="str">
        <f>"15,00"</f>
        <v>15,00</v>
      </c>
      <c r="AX95" s="4" t="str">
        <f>"2036-2038"</f>
        <v>2036-2038</v>
      </c>
      <c r="AY95" s="4" t="str">
        <f>"нет"</f>
        <v>нет</v>
      </c>
      <c r="AZ95" s="4" t="str">
        <f>""</f>
        <v/>
      </c>
      <c r="BA95" s="4" t="str">
        <f>""</f>
        <v/>
      </c>
      <c r="BB95" s="4" t="str">
        <f>""</f>
        <v/>
      </c>
      <c r="BC95" s="4" t="str">
        <f>"нет"</f>
        <v>нет</v>
      </c>
      <c r="BD95" s="4" t="str">
        <f>""</f>
        <v/>
      </c>
      <c r="BE95" s="4" t="str">
        <f>""</f>
        <v/>
      </c>
      <c r="BF95" s="4" t="str">
        <f>""</f>
        <v/>
      </c>
      <c r="BG95" s="4" t="str">
        <f>"1999"</f>
        <v>1999</v>
      </c>
      <c r="BH95" s="4" t="str">
        <f>"15,00"</f>
        <v>15,00</v>
      </c>
      <c r="BI95" s="4" t="str">
        <f>"2036-2038"</f>
        <v>2036-2038</v>
      </c>
      <c r="BJ95" s="4" t="str">
        <f>"нет"</f>
        <v>нет</v>
      </c>
      <c r="BK95" s="4" t="str">
        <f>""</f>
        <v/>
      </c>
      <c r="BL95" s="4" t="str">
        <f>""</f>
        <v/>
      </c>
      <c r="BM95" s="4" t="str">
        <f>""</f>
        <v/>
      </c>
      <c r="BN95" s="4" t="str">
        <f>"нет"</f>
        <v>нет</v>
      </c>
      <c r="BO95" s="4" t="str">
        <f>""</f>
        <v/>
      </c>
      <c r="BP95" s="4" t="str">
        <f>""</f>
        <v/>
      </c>
      <c r="BQ95" s="4" t="str">
        <f>""</f>
        <v/>
      </c>
      <c r="BR95" s="4" t="str">
        <f>"1999"</f>
        <v>1999</v>
      </c>
      <c r="BS95" s="4" t="str">
        <f>"15,00"</f>
        <v>15,00</v>
      </c>
      <c r="BT95" s="4" t="str">
        <f>"2036-2038"</f>
        <v>2036-2038</v>
      </c>
      <c r="BU95" s="4" t="str">
        <f t="shared" si="73"/>
        <v>нет</v>
      </c>
      <c r="BV95" s="4" t="str">
        <f t="shared" si="92"/>
        <v>x</v>
      </c>
      <c r="BW95" s="4" t="str">
        <f t="shared" si="92"/>
        <v>x</v>
      </c>
      <c r="BX95" s="4" t="str">
        <f t="shared" si="92"/>
        <v>x</v>
      </c>
      <c r="BY95" s="4" t="str">
        <f t="shared" si="74"/>
        <v>нет</v>
      </c>
      <c r="BZ95" s="4" t="str">
        <f t="shared" si="93"/>
        <v>x</v>
      </c>
      <c r="CA95" s="4" t="str">
        <f t="shared" si="93"/>
        <v>x</v>
      </c>
      <c r="CB95" s="4" t="str">
        <f t="shared" si="93"/>
        <v>x</v>
      </c>
      <c r="CC95" s="4" t="str">
        <f>"1999"</f>
        <v>1999</v>
      </c>
      <c r="CD95" s="4" t="str">
        <f>"15,00"</f>
        <v>15,00</v>
      </c>
      <c r="CE95" s="4" t="str">
        <f>"2036-2038"</f>
        <v>2036-2038</v>
      </c>
      <c r="CF95" s="4" t="str">
        <f>"1999"</f>
        <v>1999</v>
      </c>
      <c r="CG95" s="4" t="str">
        <f>"10,00"</f>
        <v>10,00</v>
      </c>
      <c r="CH95" s="4" t="str">
        <f>"2036-2038"</f>
        <v>2036-2038</v>
      </c>
      <c r="CI95" s="4" t="str">
        <f>"15,00"</f>
        <v>15,00</v>
      </c>
      <c r="CJ95" s="4" t="str">
        <f>"2036-2038"</f>
        <v>2036-2038</v>
      </c>
    </row>
    <row r="96" spans="1:88" ht="11.25" customHeight="1">
      <c r="A96" s="45" t="str">
        <f>"24.83"</f>
        <v>24.83</v>
      </c>
      <c r="B96" s="46" t="str">
        <f>"г. Харовск, ул.Архангельская, д.60"</f>
        <v>г. Харовск, ул.Архангельская, д.60</v>
      </c>
      <c r="C96" s="6" t="str">
        <f>"1989"</f>
        <v>1989</v>
      </c>
      <c r="D96" s="4" t="str">
        <f>"1989"</f>
        <v>1989</v>
      </c>
      <c r="E96" s="4" t="str">
        <f>"6,00"</f>
        <v>6,00</v>
      </c>
      <c r="F96" s="4" t="str">
        <f>"2033-2035"</f>
        <v>2033-2035</v>
      </c>
      <c r="G96" s="4" t="str">
        <f t="shared" si="91"/>
        <v>нет</v>
      </c>
      <c r="H96" s="4" t="str">
        <f>""</f>
        <v/>
      </c>
      <c r="I96" s="4" t="str">
        <f>""</f>
        <v/>
      </c>
      <c r="J96" s="4" t="str">
        <f>""</f>
        <v/>
      </c>
      <c r="K96" s="4" t="str">
        <f t="shared" si="72"/>
        <v>нет</v>
      </c>
      <c r="L96" s="4" t="str">
        <f>""</f>
        <v/>
      </c>
      <c r="M96" s="4" t="str">
        <f>""</f>
        <v/>
      </c>
      <c r="N96" s="4" t="str">
        <f>""</f>
        <v/>
      </c>
      <c r="O96" s="7" t="str">
        <f>"1989"</f>
        <v>1989</v>
      </c>
      <c r="P96" s="4" t="str">
        <f>"6,00"</f>
        <v>6,00</v>
      </c>
      <c r="Q96" s="4" t="str">
        <f>"2033-2035"</f>
        <v>2033-2035</v>
      </c>
      <c r="R96" s="4" t="str">
        <f>"нет"</f>
        <v>нет</v>
      </c>
      <c r="S96" s="4" t="str">
        <f>""</f>
        <v/>
      </c>
      <c r="T96" s="4" t="str">
        <f>""</f>
        <v/>
      </c>
      <c r="U96" s="4" t="str">
        <f>""</f>
        <v/>
      </c>
      <c r="V96" s="4" t="str">
        <f t="shared" si="94"/>
        <v>нет</v>
      </c>
      <c r="W96" s="4" t="str">
        <f>""</f>
        <v/>
      </c>
      <c r="X96" s="4" t="str">
        <f>""</f>
        <v/>
      </c>
      <c r="Y96" s="8" t="str">
        <f>""</f>
        <v/>
      </c>
      <c r="Z96" s="4" t="str">
        <f t="shared" ref="Z96:AD105" si="96">"х"</f>
        <v>х</v>
      </c>
      <c r="AA96" s="4" t="str">
        <f t="shared" si="96"/>
        <v>х</v>
      </c>
      <c r="AB96" s="4" t="str">
        <f t="shared" si="96"/>
        <v>х</v>
      </c>
      <c r="AC96" s="4" t="str">
        <f t="shared" si="96"/>
        <v>х</v>
      </c>
      <c r="AD96" s="4" t="str">
        <f t="shared" si="96"/>
        <v>х</v>
      </c>
      <c r="AE96" s="4" t="str">
        <f>"0,00"</f>
        <v>0,00</v>
      </c>
      <c r="AF96" s="4" t="str">
        <f t="shared" ref="AF96:AJ105" si="97">"х"</f>
        <v>х</v>
      </c>
      <c r="AG96" s="4" t="str">
        <f t="shared" si="97"/>
        <v>х</v>
      </c>
      <c r="AH96" s="4" t="str">
        <f t="shared" si="97"/>
        <v>х</v>
      </c>
      <c r="AI96" s="4" t="str">
        <f t="shared" si="97"/>
        <v>х</v>
      </c>
      <c r="AJ96" s="4" t="str">
        <f t="shared" si="97"/>
        <v>х</v>
      </c>
      <c r="AK96" s="7" t="str">
        <f>"1989"</f>
        <v>1989</v>
      </c>
      <c r="AL96" s="4" t="str">
        <f>"6,00"</f>
        <v>6,00</v>
      </c>
      <c r="AM96" s="4" t="str">
        <f>"2033-2035"</f>
        <v>2033-2035</v>
      </c>
      <c r="AN96" s="4" t="str">
        <f>"нет"</f>
        <v>нет</v>
      </c>
      <c r="AO96" s="4" t="str">
        <f>""</f>
        <v/>
      </c>
      <c r="AP96" s="4" t="str">
        <f>""</f>
        <v/>
      </c>
      <c r="AQ96" s="4" t="str">
        <f>""</f>
        <v/>
      </c>
      <c r="AR96" s="4" t="str">
        <f t="shared" si="95"/>
        <v>нет</v>
      </c>
      <c r="AS96" s="4" t="str">
        <f>""</f>
        <v/>
      </c>
      <c r="AT96" s="4" t="str">
        <f>""</f>
        <v/>
      </c>
      <c r="AU96" s="4" t="str">
        <f>""</f>
        <v/>
      </c>
      <c r="AV96" s="4" t="str">
        <f>""</f>
        <v/>
      </c>
      <c r="AW96" s="4" t="str">
        <f>"0,00"</f>
        <v>0,00</v>
      </c>
      <c r="AX96" s="4" t="str">
        <f>""</f>
        <v/>
      </c>
      <c r="AY96" s="4" t="str">
        <f>""</f>
        <v/>
      </c>
      <c r="AZ96" s="4" t="str">
        <f>""</f>
        <v/>
      </c>
      <c r="BA96" s="4" t="str">
        <f>""</f>
        <v/>
      </c>
      <c r="BB96" s="4" t="str">
        <f>""</f>
        <v/>
      </c>
      <c r="BC96" s="4" t="str">
        <f>""</f>
        <v/>
      </c>
      <c r="BD96" s="4" t="str">
        <f>""</f>
        <v/>
      </c>
      <c r="BE96" s="4" t="str">
        <f>""</f>
        <v/>
      </c>
      <c r="BF96" s="4" t="str">
        <f>""</f>
        <v/>
      </c>
      <c r="BG96" s="4" t="str">
        <f t="shared" ref="BG96:BQ96" si="98">"х"</f>
        <v>х</v>
      </c>
      <c r="BH96" s="4" t="str">
        <f t="shared" si="98"/>
        <v>х</v>
      </c>
      <c r="BI96" s="4" t="str">
        <f t="shared" si="98"/>
        <v>х</v>
      </c>
      <c r="BJ96" s="4" t="str">
        <f t="shared" si="98"/>
        <v>х</v>
      </c>
      <c r="BK96" s="4" t="str">
        <f t="shared" si="98"/>
        <v>х</v>
      </c>
      <c r="BL96" s="4" t="str">
        <f t="shared" si="98"/>
        <v>х</v>
      </c>
      <c r="BM96" s="4" t="str">
        <f t="shared" si="98"/>
        <v>х</v>
      </c>
      <c r="BN96" s="4" t="str">
        <f t="shared" si="98"/>
        <v>х</v>
      </c>
      <c r="BO96" s="4" t="str">
        <f t="shared" si="98"/>
        <v>х</v>
      </c>
      <c r="BP96" s="4" t="str">
        <f t="shared" si="98"/>
        <v>х</v>
      </c>
      <c r="BQ96" s="4" t="str">
        <f t="shared" si="98"/>
        <v>х</v>
      </c>
      <c r="BR96" s="4" t="str">
        <f>"1989"</f>
        <v>1989</v>
      </c>
      <c r="BS96" s="4" t="str">
        <f>"35,00"</f>
        <v>35,00</v>
      </c>
      <c r="BT96" s="4" t="str">
        <f>"2033-2035"</f>
        <v>2033-2035</v>
      </c>
      <c r="BU96" s="4" t="str">
        <f t="shared" si="73"/>
        <v>нет</v>
      </c>
      <c r="BV96" s="4" t="str">
        <f t="shared" si="92"/>
        <v>x</v>
      </c>
      <c r="BW96" s="4" t="str">
        <f t="shared" si="92"/>
        <v>x</v>
      </c>
      <c r="BX96" s="4" t="str">
        <f t="shared" si="92"/>
        <v>x</v>
      </c>
      <c r="BY96" s="4" t="str">
        <f t="shared" si="74"/>
        <v>нет</v>
      </c>
      <c r="BZ96" s="4" t="str">
        <f t="shared" si="93"/>
        <v>x</v>
      </c>
      <c r="CA96" s="4" t="str">
        <f t="shared" si="93"/>
        <v>x</v>
      </c>
      <c r="CB96" s="4" t="str">
        <f t="shared" si="93"/>
        <v>x</v>
      </c>
      <c r="CC96" s="4" t="str">
        <f>"1989"</f>
        <v>1989</v>
      </c>
      <c r="CD96" s="4" t="str">
        <f>"35,00"</f>
        <v>35,00</v>
      </c>
      <c r="CE96" s="4" t="str">
        <f>"2033-2035"</f>
        <v>2033-2035</v>
      </c>
      <c r="CF96" s="4" t="str">
        <f>"1989"</f>
        <v>1989</v>
      </c>
      <c r="CG96" s="4" t="str">
        <f>"20,00"</f>
        <v>20,00</v>
      </c>
      <c r="CH96" s="4" t="str">
        <f>"2033-2035"</f>
        <v>2033-2035</v>
      </c>
      <c r="CI96" s="4" t="str">
        <f>"22,00"</f>
        <v>22,00</v>
      </c>
      <c r="CJ96" s="4" t="str">
        <f>"2033-2035"</f>
        <v>2033-2035</v>
      </c>
    </row>
    <row r="97" spans="1:88" ht="11.25" customHeight="1">
      <c r="A97" s="45" t="str">
        <f>"24.84"</f>
        <v>24.84</v>
      </c>
      <c r="B97" s="46" t="str">
        <f>"г. Харовск, ул.Ветеранов, д.1"</f>
        <v>г. Харовск, ул.Ветеранов, д.1</v>
      </c>
      <c r="C97" s="6" t="str">
        <f>"1959"</f>
        <v>1959</v>
      </c>
      <c r="D97" s="4" t="str">
        <f>"1959"</f>
        <v>1959</v>
      </c>
      <c r="E97" s="4" t="str">
        <f>"65,00"</f>
        <v>65,00</v>
      </c>
      <c r="F97" s="4" t="str">
        <f>"2027-2029"</f>
        <v>2027-2029</v>
      </c>
      <c r="G97" s="4" t="str">
        <f t="shared" si="91"/>
        <v>нет</v>
      </c>
      <c r="H97" s="4" t="str">
        <f>""</f>
        <v/>
      </c>
      <c r="I97" s="4" t="str">
        <f>""</f>
        <v/>
      </c>
      <c r="J97" s="4" t="str">
        <f>""</f>
        <v/>
      </c>
      <c r="K97" s="4" t="str">
        <f t="shared" si="72"/>
        <v>нет</v>
      </c>
      <c r="L97" s="4" t="str">
        <f>""</f>
        <v/>
      </c>
      <c r="M97" s="4" t="str">
        <f>""</f>
        <v/>
      </c>
      <c r="N97" s="4" t="str">
        <f>""</f>
        <v/>
      </c>
      <c r="O97" s="7" t="str">
        <f>"1959"</f>
        <v>1959</v>
      </c>
      <c r="P97" s="4" t="str">
        <f>"65,00"</f>
        <v>65,00</v>
      </c>
      <c r="Q97" s="4" t="str">
        <f>"2017-2019"</f>
        <v>2017-2019</v>
      </c>
      <c r="R97" s="4" t="str">
        <f>"нет"</f>
        <v>нет</v>
      </c>
      <c r="S97" s="4" t="str">
        <f>""</f>
        <v/>
      </c>
      <c r="T97" s="4" t="str">
        <f>""</f>
        <v/>
      </c>
      <c r="U97" s="4" t="str">
        <f>"2017-2019"</f>
        <v>2017-2019</v>
      </c>
      <c r="V97" s="4" t="str">
        <f t="shared" si="94"/>
        <v>нет</v>
      </c>
      <c r="W97" s="4" t="str">
        <f>""</f>
        <v/>
      </c>
      <c r="X97" s="4" t="str">
        <f>""</f>
        <v/>
      </c>
      <c r="Y97" s="8" t="str">
        <f>""</f>
        <v/>
      </c>
      <c r="Z97" s="4" t="str">
        <f t="shared" si="96"/>
        <v>х</v>
      </c>
      <c r="AA97" s="4" t="str">
        <f t="shared" si="96"/>
        <v>х</v>
      </c>
      <c r="AB97" s="4" t="str">
        <f t="shared" si="96"/>
        <v>х</v>
      </c>
      <c r="AC97" s="4" t="str">
        <f t="shared" si="96"/>
        <v>х</v>
      </c>
      <c r="AD97" s="4" t="str">
        <f t="shared" si="96"/>
        <v>х</v>
      </c>
      <c r="AE97" s="4" t="str">
        <f t="shared" ref="AE97:AE128" si="99">"х"</f>
        <v>х</v>
      </c>
      <c r="AF97" s="4" t="str">
        <f t="shared" si="97"/>
        <v>х</v>
      </c>
      <c r="AG97" s="4" t="str">
        <f t="shared" si="97"/>
        <v>х</v>
      </c>
      <c r="AH97" s="4" t="str">
        <f t="shared" si="97"/>
        <v>х</v>
      </c>
      <c r="AI97" s="4" t="str">
        <f t="shared" si="97"/>
        <v>х</v>
      </c>
      <c r="AJ97" s="4" t="str">
        <f t="shared" si="97"/>
        <v>х</v>
      </c>
      <c r="AK97" s="7" t="str">
        <f>"1959"</f>
        <v>1959</v>
      </c>
      <c r="AL97" s="4" t="str">
        <f>"65,00"</f>
        <v>65,00</v>
      </c>
      <c r="AM97" s="4" t="str">
        <f>"2027-2029"</f>
        <v>2027-2029</v>
      </c>
      <c r="AN97" s="4" t="str">
        <f>"нет"</f>
        <v>нет</v>
      </c>
      <c r="AO97" s="4" t="str">
        <f>""</f>
        <v/>
      </c>
      <c r="AP97" s="4" t="str">
        <f>""</f>
        <v/>
      </c>
      <c r="AQ97" s="4" t="str">
        <f>""</f>
        <v/>
      </c>
      <c r="AR97" s="4" t="str">
        <f t="shared" si="95"/>
        <v>нет</v>
      </c>
      <c r="AS97" s="4" t="str">
        <f>""</f>
        <v/>
      </c>
      <c r="AT97" s="4" t="str">
        <f>""</f>
        <v/>
      </c>
      <c r="AU97" s="4" t="str">
        <f>""</f>
        <v/>
      </c>
      <c r="AV97" s="4" t="str">
        <f>"1959"</f>
        <v>1959</v>
      </c>
      <c r="AW97" s="4" t="str">
        <f>"65,00"</f>
        <v>65,00</v>
      </c>
      <c r="AX97" s="4" t="str">
        <f>"2027-2029"</f>
        <v>2027-2029</v>
      </c>
      <c r="AY97" s="4" t="str">
        <f>"нет"</f>
        <v>нет</v>
      </c>
      <c r="AZ97" s="4" t="str">
        <f>""</f>
        <v/>
      </c>
      <c r="BA97" s="4" t="str">
        <f>""</f>
        <v/>
      </c>
      <c r="BB97" s="4" t="str">
        <f>""</f>
        <v/>
      </c>
      <c r="BC97" s="4" t="str">
        <f>"нет"</f>
        <v>нет</v>
      </c>
      <c r="BD97" s="4" t="str">
        <f>""</f>
        <v/>
      </c>
      <c r="BE97" s="4" t="str">
        <f>""</f>
        <v/>
      </c>
      <c r="BF97" s="4" t="str">
        <f>""</f>
        <v/>
      </c>
      <c r="BG97" s="4" t="str">
        <f>"1959"</f>
        <v>1959</v>
      </c>
      <c r="BH97" s="4" t="str">
        <f>"65,00"</f>
        <v>65,00</v>
      </c>
      <c r="BI97" s="4" t="str">
        <f>"2027-2029"</f>
        <v>2027-2029</v>
      </c>
      <c r="BJ97" s="4" t="str">
        <f t="shared" ref="BJ97:BJ105" si="100">"нет"</f>
        <v>нет</v>
      </c>
      <c r="BK97" s="4" t="str">
        <f>""</f>
        <v/>
      </c>
      <c r="BL97" s="4" t="str">
        <f>""</f>
        <v/>
      </c>
      <c r="BM97" s="4" t="str">
        <f>""</f>
        <v/>
      </c>
      <c r="BN97" s="4" t="str">
        <f t="shared" ref="BN97:BN105" si="101">"нет"</f>
        <v>нет</v>
      </c>
      <c r="BO97" s="4" t="str">
        <f>""</f>
        <v/>
      </c>
      <c r="BP97" s="4" t="str">
        <f>""</f>
        <v/>
      </c>
      <c r="BQ97" s="4" t="str">
        <f>""</f>
        <v/>
      </c>
      <c r="BR97" s="4" t="str">
        <f>"1959"</f>
        <v>1959</v>
      </c>
      <c r="BS97" s="4" t="str">
        <f>"60,00"</f>
        <v>60,00</v>
      </c>
      <c r="BT97" s="4" t="str">
        <f>"2017-2019"</f>
        <v>2017-2019</v>
      </c>
      <c r="BU97" s="4" t="str">
        <f t="shared" si="73"/>
        <v>нет</v>
      </c>
      <c r="BV97" s="4" t="str">
        <f t="shared" si="92"/>
        <v>x</v>
      </c>
      <c r="BW97" s="4" t="str">
        <f t="shared" si="92"/>
        <v>x</v>
      </c>
      <c r="BX97" s="4" t="str">
        <f t="shared" si="92"/>
        <v>x</v>
      </c>
      <c r="BY97" s="4" t="str">
        <f t="shared" si="74"/>
        <v>нет</v>
      </c>
      <c r="BZ97" s="4" t="str">
        <f t="shared" si="93"/>
        <v>x</v>
      </c>
      <c r="CA97" s="4" t="str">
        <f t="shared" si="93"/>
        <v>x</v>
      </c>
      <c r="CB97" s="4" t="str">
        <f t="shared" si="93"/>
        <v>x</v>
      </c>
      <c r="CC97" s="4" t="str">
        <f>"1959"</f>
        <v>1959</v>
      </c>
      <c r="CD97" s="4" t="str">
        <f>"65,00"</f>
        <v>65,00</v>
      </c>
      <c r="CE97" s="4" t="str">
        <f>"2017-2019"</f>
        <v>2017-2019</v>
      </c>
      <c r="CF97" s="4" t="str">
        <f>"1959"</f>
        <v>1959</v>
      </c>
      <c r="CG97" s="4" t="str">
        <f>"55,00"</f>
        <v>55,00</v>
      </c>
      <c r="CH97" s="4" t="str">
        <f>"2027-2029"</f>
        <v>2027-2029</v>
      </c>
      <c r="CI97" s="4" t="str">
        <f>"48,00"</f>
        <v>48,00</v>
      </c>
      <c r="CJ97" s="4" t="str">
        <f>"2017-2019"</f>
        <v>2017-2019</v>
      </c>
    </row>
    <row r="98" spans="1:88" ht="11.25" customHeight="1">
      <c r="A98" s="45" t="str">
        <f>"24.85"</f>
        <v>24.85</v>
      </c>
      <c r="B98" s="46" t="str">
        <f>"г. Харовск, ул.Ветеранов, д.11"</f>
        <v>г. Харовск, ул.Ветеранов, д.11</v>
      </c>
      <c r="C98" s="6" t="str">
        <f>"1953"</f>
        <v>1953</v>
      </c>
      <c r="D98" s="4" t="str">
        <f>"1953"</f>
        <v>1953</v>
      </c>
      <c r="E98" s="4" t="str">
        <f>"20,00"</f>
        <v>20,00</v>
      </c>
      <c r="F98" s="4" t="str">
        <f>"2038-2040"</f>
        <v>2038-2040</v>
      </c>
      <c r="G98" s="4" t="str">
        <f t="shared" si="91"/>
        <v>нет</v>
      </c>
      <c r="H98" s="4" t="str">
        <f>""</f>
        <v/>
      </c>
      <c r="I98" s="4" t="str">
        <f>""</f>
        <v/>
      </c>
      <c r="J98" s="4" t="str">
        <f>""</f>
        <v/>
      </c>
      <c r="K98" s="4" t="str">
        <f t="shared" si="72"/>
        <v>нет</v>
      </c>
      <c r="L98" s="4" t="str">
        <f>""</f>
        <v/>
      </c>
      <c r="M98" s="4" t="str">
        <f>""</f>
        <v/>
      </c>
      <c r="N98" s="4" t="str">
        <f>""</f>
        <v/>
      </c>
      <c r="O98" s="7" t="str">
        <f>"2010"</f>
        <v>2010</v>
      </c>
      <c r="P98" s="4" t="str">
        <f>"20,00"</f>
        <v>20,00</v>
      </c>
      <c r="Q98" s="4" t="str">
        <f>"2038-2040"</f>
        <v>2038-2040</v>
      </c>
      <c r="R98" s="4" t="str">
        <f>"нет"</f>
        <v>нет</v>
      </c>
      <c r="S98" s="4" t="str">
        <f>""</f>
        <v/>
      </c>
      <c r="T98" s="4" t="str">
        <f>""</f>
        <v/>
      </c>
      <c r="U98" s="4" t="str">
        <f>""</f>
        <v/>
      </c>
      <c r="V98" s="4" t="str">
        <f t="shared" si="94"/>
        <v>нет</v>
      </c>
      <c r="W98" s="4" t="str">
        <f>""</f>
        <v/>
      </c>
      <c r="X98" s="4" t="str">
        <f>""</f>
        <v/>
      </c>
      <c r="Y98" s="8" t="str">
        <f>""</f>
        <v/>
      </c>
      <c r="Z98" s="4" t="str">
        <f t="shared" si="96"/>
        <v>х</v>
      </c>
      <c r="AA98" s="4" t="str">
        <f t="shared" si="96"/>
        <v>х</v>
      </c>
      <c r="AB98" s="4" t="str">
        <f t="shared" si="96"/>
        <v>х</v>
      </c>
      <c r="AC98" s="4" t="str">
        <f t="shared" si="96"/>
        <v>х</v>
      </c>
      <c r="AD98" s="4" t="str">
        <f t="shared" si="96"/>
        <v>х</v>
      </c>
      <c r="AE98" s="4" t="str">
        <f t="shared" si="99"/>
        <v>х</v>
      </c>
      <c r="AF98" s="4" t="str">
        <f t="shared" si="97"/>
        <v>х</v>
      </c>
      <c r="AG98" s="4" t="str">
        <f t="shared" si="97"/>
        <v>х</v>
      </c>
      <c r="AH98" s="4" t="str">
        <f t="shared" si="97"/>
        <v>х</v>
      </c>
      <c r="AI98" s="4" t="str">
        <f t="shared" si="97"/>
        <v>х</v>
      </c>
      <c r="AJ98" s="4" t="str">
        <f t="shared" si="97"/>
        <v>х</v>
      </c>
      <c r="AK98" s="7" t="str">
        <f>"1953"</f>
        <v>1953</v>
      </c>
      <c r="AL98" s="4" t="str">
        <f>"20,00"</f>
        <v>20,00</v>
      </c>
      <c r="AM98" s="4" t="str">
        <f>"2038-2040"</f>
        <v>2038-2040</v>
      </c>
      <c r="AN98" s="4" t="str">
        <f>"нет"</f>
        <v>нет</v>
      </c>
      <c r="AO98" s="4" t="str">
        <f>""</f>
        <v/>
      </c>
      <c r="AP98" s="4" t="str">
        <f>""</f>
        <v/>
      </c>
      <c r="AQ98" s="4" t="str">
        <f>""</f>
        <v/>
      </c>
      <c r="AR98" s="4" t="str">
        <f t="shared" si="95"/>
        <v>нет</v>
      </c>
      <c r="AS98" s="4" t="str">
        <f>""</f>
        <v/>
      </c>
      <c r="AT98" s="4" t="str">
        <f>""</f>
        <v/>
      </c>
      <c r="AU98" s="4" t="str">
        <f>""</f>
        <v/>
      </c>
      <c r="AV98" s="4" t="str">
        <f>"1953"</f>
        <v>1953</v>
      </c>
      <c r="AW98" s="4" t="str">
        <f>"20,00"</f>
        <v>20,00</v>
      </c>
      <c r="AX98" s="4" t="str">
        <f>"2038-2040"</f>
        <v>2038-2040</v>
      </c>
      <c r="AY98" s="4" t="str">
        <f>"нет"</f>
        <v>нет</v>
      </c>
      <c r="AZ98" s="4" t="str">
        <f>""</f>
        <v/>
      </c>
      <c r="BA98" s="4" t="str">
        <f>""</f>
        <v/>
      </c>
      <c r="BB98" s="4" t="str">
        <f>""</f>
        <v/>
      </c>
      <c r="BC98" s="4" t="str">
        <f>"нет"</f>
        <v>нет</v>
      </c>
      <c r="BD98" s="4" t="str">
        <f>""</f>
        <v/>
      </c>
      <c r="BE98" s="4" t="str">
        <f>""</f>
        <v/>
      </c>
      <c r="BF98" s="4" t="str">
        <f>""</f>
        <v/>
      </c>
      <c r="BG98" s="4" t="str">
        <f>"2010"</f>
        <v>2010</v>
      </c>
      <c r="BH98" s="4" t="str">
        <f>"20,00"</f>
        <v>20,00</v>
      </c>
      <c r="BI98" s="4" t="str">
        <f>"2038-2040"</f>
        <v>2038-2040</v>
      </c>
      <c r="BJ98" s="4" t="str">
        <f t="shared" si="100"/>
        <v>нет</v>
      </c>
      <c r="BK98" s="4" t="str">
        <f>""</f>
        <v/>
      </c>
      <c r="BL98" s="4" t="str">
        <f>""</f>
        <v/>
      </c>
      <c r="BM98" s="4" t="str">
        <f>""</f>
        <v/>
      </c>
      <c r="BN98" s="4" t="str">
        <f t="shared" si="101"/>
        <v>нет</v>
      </c>
      <c r="BO98" s="4" t="str">
        <f>""</f>
        <v/>
      </c>
      <c r="BP98" s="4" t="str">
        <f>""</f>
        <v/>
      </c>
      <c r="BQ98" s="4" t="str">
        <f>""</f>
        <v/>
      </c>
      <c r="BR98" s="4" t="str">
        <f>"2010"</f>
        <v>2010</v>
      </c>
      <c r="BS98" s="4" t="str">
        <f>"40,00"</f>
        <v>40,00</v>
      </c>
      <c r="BT98" s="4" t="str">
        <f>"2038-2040"</f>
        <v>2038-2040</v>
      </c>
      <c r="BU98" s="4" t="str">
        <f t="shared" si="73"/>
        <v>нет</v>
      </c>
      <c r="BV98" s="4" t="str">
        <f t="shared" si="92"/>
        <v>x</v>
      </c>
      <c r="BW98" s="4" t="str">
        <f t="shared" si="92"/>
        <v>x</v>
      </c>
      <c r="BX98" s="4" t="str">
        <f t="shared" si="92"/>
        <v>x</v>
      </c>
      <c r="BY98" s="4" t="str">
        <f t="shared" si="74"/>
        <v>нет</v>
      </c>
      <c r="BZ98" s="4" t="str">
        <f t="shared" si="93"/>
        <v>x</v>
      </c>
      <c r="CA98" s="4" t="str">
        <f t="shared" si="93"/>
        <v>x</v>
      </c>
      <c r="CB98" s="4" t="str">
        <f t="shared" si="93"/>
        <v>x</v>
      </c>
      <c r="CC98" s="4" t="str">
        <f>"2010"</f>
        <v>2010</v>
      </c>
      <c r="CD98" s="4" t="str">
        <f>"55,00"</f>
        <v>55,00</v>
      </c>
      <c r="CE98" s="4" t="str">
        <f>"2038-2040"</f>
        <v>2038-2040</v>
      </c>
      <c r="CF98" s="4" t="str">
        <f>"1953"</f>
        <v>1953</v>
      </c>
      <c r="CG98" s="4" t="str">
        <f>"50,00"</f>
        <v>50,00</v>
      </c>
      <c r="CH98" s="4" t="str">
        <f>"2038-2040"</f>
        <v>2038-2040</v>
      </c>
      <c r="CI98" s="4" t="str">
        <f>"40,00"</f>
        <v>40,00</v>
      </c>
      <c r="CJ98" s="4" t="str">
        <f>"2038-2040"</f>
        <v>2038-2040</v>
      </c>
    </row>
    <row r="99" spans="1:88" ht="11.25" customHeight="1">
      <c r="A99" s="45" t="str">
        <f>"24.86"</f>
        <v>24.86</v>
      </c>
      <c r="B99" s="46" t="str">
        <f>"г. Харовск, ул.Ветеранов, д.15"</f>
        <v>г. Харовск, ул.Ветеранов, д.15</v>
      </c>
      <c r="C99" s="6" t="str">
        <f>"1970"</f>
        <v>1970</v>
      </c>
      <c r="D99" s="4" t="str">
        <f>"1970"</f>
        <v>1970</v>
      </c>
      <c r="E99" s="4" t="str">
        <f>"15,00"</f>
        <v>15,00</v>
      </c>
      <c r="F99" s="4" t="str">
        <f>"2024-2026"</f>
        <v>2024-2026</v>
      </c>
      <c r="G99" s="4" t="str">
        <f t="shared" si="91"/>
        <v>нет</v>
      </c>
      <c r="H99" s="4" t="str">
        <f>""</f>
        <v/>
      </c>
      <c r="I99" s="4" t="str">
        <f>""</f>
        <v/>
      </c>
      <c r="J99" s="4" t="str">
        <f>""</f>
        <v/>
      </c>
      <c r="K99" s="4" t="str">
        <f t="shared" si="72"/>
        <v>нет</v>
      </c>
      <c r="L99" s="4" t="str">
        <f>""</f>
        <v/>
      </c>
      <c r="M99" s="4" t="str">
        <f>""</f>
        <v/>
      </c>
      <c r="N99" s="4" t="str">
        <f>""</f>
        <v/>
      </c>
      <c r="O99" s="7" t="str">
        <f>"1970"</f>
        <v>1970</v>
      </c>
      <c r="P99" s="4" t="str">
        <f>"15,00"</f>
        <v>15,00</v>
      </c>
      <c r="Q99" s="4" t="str">
        <f>"2024-2026"</f>
        <v>2024-2026</v>
      </c>
      <c r="R99" s="4" t="str">
        <f>"нет"</f>
        <v>нет</v>
      </c>
      <c r="S99" s="4" t="str">
        <f>""</f>
        <v/>
      </c>
      <c r="T99" s="4" t="str">
        <f>""</f>
        <v/>
      </c>
      <c r="U99" s="4" t="str">
        <f>""</f>
        <v/>
      </c>
      <c r="V99" s="4" t="str">
        <f t="shared" si="94"/>
        <v>нет</v>
      </c>
      <c r="W99" s="4" t="str">
        <f>""</f>
        <v/>
      </c>
      <c r="X99" s="4" t="str">
        <f>""</f>
        <v/>
      </c>
      <c r="Y99" s="8" t="str">
        <f>""</f>
        <v/>
      </c>
      <c r="Z99" s="4" t="str">
        <f t="shared" si="96"/>
        <v>х</v>
      </c>
      <c r="AA99" s="4" t="str">
        <f t="shared" si="96"/>
        <v>х</v>
      </c>
      <c r="AB99" s="4" t="str">
        <f t="shared" si="96"/>
        <v>х</v>
      </c>
      <c r="AC99" s="4" t="str">
        <f t="shared" si="96"/>
        <v>х</v>
      </c>
      <c r="AD99" s="4" t="str">
        <f t="shared" si="96"/>
        <v>х</v>
      </c>
      <c r="AE99" s="4" t="str">
        <f t="shared" si="99"/>
        <v>х</v>
      </c>
      <c r="AF99" s="4" t="str">
        <f t="shared" si="97"/>
        <v>х</v>
      </c>
      <c r="AG99" s="4" t="str">
        <f t="shared" si="97"/>
        <v>х</v>
      </c>
      <c r="AH99" s="4" t="str">
        <f t="shared" si="97"/>
        <v>х</v>
      </c>
      <c r="AI99" s="4" t="str">
        <f t="shared" si="97"/>
        <v>х</v>
      </c>
      <c r="AJ99" s="4" t="str">
        <f t="shared" si="97"/>
        <v>х</v>
      </c>
      <c r="AK99" s="7" t="str">
        <f>"1970"</f>
        <v>1970</v>
      </c>
      <c r="AL99" s="4" t="str">
        <f>"15,00"</f>
        <v>15,00</v>
      </c>
      <c r="AM99" s="4" t="str">
        <f>"2024-2026"</f>
        <v>2024-2026</v>
      </c>
      <c r="AN99" s="4" t="str">
        <f>"да"</f>
        <v>да</v>
      </c>
      <c r="AO99" s="4" t="str">
        <f>"2013"</f>
        <v>2013</v>
      </c>
      <c r="AP99" s="4" t="str">
        <f>"1,00"</f>
        <v>1,00</v>
      </c>
      <c r="AQ99" s="4" t="str">
        <f>"2024-2026"</f>
        <v>2024-2026</v>
      </c>
      <c r="AR99" s="4" t="str">
        <f t="shared" si="95"/>
        <v>нет</v>
      </c>
      <c r="AS99" s="4" t="str">
        <f>""</f>
        <v/>
      </c>
      <c r="AT99" s="4" t="str">
        <f>""</f>
        <v/>
      </c>
      <c r="AU99" s="4" t="str">
        <f>""</f>
        <v/>
      </c>
      <c r="AV99" s="4" t="str">
        <f>"1970"</f>
        <v>1970</v>
      </c>
      <c r="AW99" s="4" t="str">
        <f>"15,00"</f>
        <v>15,00</v>
      </c>
      <c r="AX99" s="4" t="str">
        <f>"2024-2026"</f>
        <v>2024-2026</v>
      </c>
      <c r="AY99" s="4" t="str">
        <f>"нет"</f>
        <v>нет</v>
      </c>
      <c r="AZ99" s="4" t="str">
        <f>""</f>
        <v/>
      </c>
      <c r="BA99" s="4" t="str">
        <f>""</f>
        <v/>
      </c>
      <c r="BB99" s="4" t="str">
        <f>""</f>
        <v/>
      </c>
      <c r="BC99" s="4" t="str">
        <f>"нет"</f>
        <v>нет</v>
      </c>
      <c r="BD99" s="4" t="str">
        <f>""</f>
        <v/>
      </c>
      <c r="BE99" s="4" t="str">
        <f>""</f>
        <v/>
      </c>
      <c r="BF99" s="4" t="str">
        <f>""</f>
        <v/>
      </c>
      <c r="BG99" s="4" t="str">
        <f>"1970"</f>
        <v>1970</v>
      </c>
      <c r="BH99" s="4" t="str">
        <f>"15,00"</f>
        <v>15,00</v>
      </c>
      <c r="BI99" s="4" t="str">
        <f>"2024-2026"</f>
        <v>2024-2026</v>
      </c>
      <c r="BJ99" s="4" t="str">
        <f t="shared" si="100"/>
        <v>нет</v>
      </c>
      <c r="BK99" s="4" t="str">
        <f>""</f>
        <v/>
      </c>
      <c r="BL99" s="4" t="str">
        <f>""</f>
        <v/>
      </c>
      <c r="BM99" s="4" t="str">
        <f>""</f>
        <v/>
      </c>
      <c r="BN99" s="4" t="str">
        <f t="shared" si="101"/>
        <v>нет</v>
      </c>
      <c r="BO99" s="4" t="str">
        <f>""</f>
        <v/>
      </c>
      <c r="BP99" s="4" t="str">
        <f>""</f>
        <v/>
      </c>
      <c r="BQ99" s="4" t="str">
        <f>""</f>
        <v/>
      </c>
      <c r="BR99" s="4" t="str">
        <f>"1970"</f>
        <v>1970</v>
      </c>
      <c r="BS99" s="4" t="str">
        <f>"30,00"</f>
        <v>30,00</v>
      </c>
      <c r="BT99" s="4" t="str">
        <f>"2024-2026"</f>
        <v>2024-2026</v>
      </c>
      <c r="BU99" s="4" t="str">
        <f t="shared" si="73"/>
        <v>нет</v>
      </c>
      <c r="BV99" s="4" t="str">
        <f t="shared" si="92"/>
        <v>x</v>
      </c>
      <c r="BW99" s="4" t="str">
        <f t="shared" si="92"/>
        <v>x</v>
      </c>
      <c r="BX99" s="4" t="str">
        <f t="shared" si="92"/>
        <v>x</v>
      </c>
      <c r="BY99" s="4" t="str">
        <f t="shared" si="74"/>
        <v>нет</v>
      </c>
      <c r="BZ99" s="4" t="str">
        <f t="shared" si="93"/>
        <v>x</v>
      </c>
      <c r="CA99" s="4" t="str">
        <f t="shared" si="93"/>
        <v>x</v>
      </c>
      <c r="CB99" s="4" t="str">
        <f t="shared" si="93"/>
        <v>x</v>
      </c>
      <c r="CC99" s="4" t="str">
        <f>"1970"</f>
        <v>1970</v>
      </c>
      <c r="CD99" s="4" t="str">
        <f>"45,00"</f>
        <v>45,00</v>
      </c>
      <c r="CE99" s="4" t="str">
        <f>"2024-2026"</f>
        <v>2024-2026</v>
      </c>
      <c r="CF99" s="4" t="str">
        <f>"1970"</f>
        <v>1970</v>
      </c>
      <c r="CG99" s="4" t="str">
        <f>"35,00"</f>
        <v>35,00</v>
      </c>
      <c r="CH99" s="4" t="str">
        <f>"2024-2026"</f>
        <v>2024-2026</v>
      </c>
      <c r="CI99" s="4" t="str">
        <f>"30,00"</f>
        <v>30,00</v>
      </c>
      <c r="CJ99" s="4" t="str">
        <f>"2024-2026"</f>
        <v>2024-2026</v>
      </c>
    </row>
    <row r="100" spans="1:88" ht="11.25" customHeight="1">
      <c r="A100" s="45" t="str">
        <f>"24.87"</f>
        <v>24.87</v>
      </c>
      <c r="B100" s="46" t="str">
        <f>"г. Харовск, ул.Ветеранов, д.17"</f>
        <v>г. Харовск, ул.Ветеранов, д.17</v>
      </c>
      <c r="C100" s="6" t="str">
        <f>"1960"</f>
        <v>1960</v>
      </c>
      <c r="D100" s="4" t="str">
        <f>"2009"</f>
        <v>2009</v>
      </c>
      <c r="E100" s="4" t="str">
        <f>"40,00"</f>
        <v>40,00</v>
      </c>
      <c r="F100" s="4" t="str">
        <f>"2037-2039"</f>
        <v>2037-2039</v>
      </c>
      <c r="G100" s="4" t="str">
        <f t="shared" si="91"/>
        <v>нет</v>
      </c>
      <c r="H100" s="4" t="str">
        <f>""</f>
        <v/>
      </c>
      <c r="I100" s="4" t="str">
        <f>""</f>
        <v/>
      </c>
      <c r="J100" s="4" t="str">
        <f>""</f>
        <v/>
      </c>
      <c r="K100" s="4" t="str">
        <f t="shared" si="72"/>
        <v>нет</v>
      </c>
      <c r="L100" s="4" t="str">
        <f>""</f>
        <v/>
      </c>
      <c r="M100" s="4" t="str">
        <f>""</f>
        <v/>
      </c>
      <c r="N100" s="4" t="str">
        <f>""</f>
        <v/>
      </c>
      <c r="O100" s="7" t="str">
        <f>"2009"</f>
        <v>2009</v>
      </c>
      <c r="P100" s="4" t="str">
        <f>"40,00"</f>
        <v>40,00</v>
      </c>
      <c r="Q100" s="4" t="str">
        <f>"2037-2039"</f>
        <v>2037-2039</v>
      </c>
      <c r="R100" s="4" t="str">
        <f>"да"</f>
        <v>да</v>
      </c>
      <c r="S100" s="4" t="str">
        <f>"2009"</f>
        <v>2009</v>
      </c>
      <c r="T100" s="4" t="str">
        <f>"90,00"</f>
        <v>90,00</v>
      </c>
      <c r="U100" s="4" t="str">
        <f>"2037-2039"</f>
        <v>2037-2039</v>
      </c>
      <c r="V100" s="4" t="str">
        <f t="shared" si="94"/>
        <v>нет</v>
      </c>
      <c r="W100" s="4" t="str">
        <f>""</f>
        <v/>
      </c>
      <c r="X100" s="4" t="str">
        <f>""</f>
        <v/>
      </c>
      <c r="Y100" s="8" t="str">
        <f>""</f>
        <v/>
      </c>
      <c r="Z100" s="4" t="str">
        <f t="shared" si="96"/>
        <v>х</v>
      </c>
      <c r="AA100" s="4" t="str">
        <f t="shared" si="96"/>
        <v>х</v>
      </c>
      <c r="AB100" s="4" t="str">
        <f t="shared" si="96"/>
        <v>х</v>
      </c>
      <c r="AC100" s="4" t="str">
        <f t="shared" si="96"/>
        <v>х</v>
      </c>
      <c r="AD100" s="4" t="str">
        <f t="shared" si="96"/>
        <v>х</v>
      </c>
      <c r="AE100" s="4" t="str">
        <f t="shared" si="99"/>
        <v>х</v>
      </c>
      <c r="AF100" s="4" t="str">
        <f t="shared" si="97"/>
        <v>х</v>
      </c>
      <c r="AG100" s="4" t="str">
        <f t="shared" si="97"/>
        <v>х</v>
      </c>
      <c r="AH100" s="4" t="str">
        <f t="shared" si="97"/>
        <v>х</v>
      </c>
      <c r="AI100" s="4" t="str">
        <f t="shared" si="97"/>
        <v>х</v>
      </c>
      <c r="AJ100" s="4" t="str">
        <f t="shared" si="97"/>
        <v>х</v>
      </c>
      <c r="AK100" s="7" t="str">
        <f>"2009"</f>
        <v>2009</v>
      </c>
      <c r="AL100" s="4" t="str">
        <f>"40,00"</f>
        <v>40,00</v>
      </c>
      <c r="AM100" s="4" t="str">
        <f>"2037-2039"</f>
        <v>2037-2039</v>
      </c>
      <c r="AN100" s="4" t="str">
        <f>"нет"</f>
        <v>нет</v>
      </c>
      <c r="AO100" s="4" t="str">
        <f>""</f>
        <v/>
      </c>
      <c r="AP100" s="4" t="str">
        <f>""</f>
        <v/>
      </c>
      <c r="AQ100" s="4" t="str">
        <f>""</f>
        <v/>
      </c>
      <c r="AR100" s="4" t="str">
        <f t="shared" si="95"/>
        <v>нет</v>
      </c>
      <c r="AS100" s="4" t="str">
        <f>""</f>
        <v/>
      </c>
      <c r="AT100" s="4" t="str">
        <f>""</f>
        <v/>
      </c>
      <c r="AU100" s="4" t="str">
        <f>""</f>
        <v/>
      </c>
      <c r="AV100" s="4" t="str">
        <f>"2009"</f>
        <v>2009</v>
      </c>
      <c r="AW100" s="4" t="str">
        <f>"40,00"</f>
        <v>40,00</v>
      </c>
      <c r="AX100" s="4" t="str">
        <f>"2037-2039"</f>
        <v>2037-2039</v>
      </c>
      <c r="AY100" s="4" t="str">
        <f>"да"</f>
        <v>да</v>
      </c>
      <c r="AZ100" s="4" t="str">
        <f>"2009"</f>
        <v>2009</v>
      </c>
      <c r="BA100" s="4" t="str">
        <f>"90,00"</f>
        <v>90,00</v>
      </c>
      <c r="BB100" s="4" t="str">
        <f>"2037-2039"</f>
        <v>2037-2039</v>
      </c>
      <c r="BC100" s="4" t="str">
        <f>"нет"</f>
        <v>нет</v>
      </c>
      <c r="BD100" s="4" t="str">
        <f>""</f>
        <v/>
      </c>
      <c r="BE100" s="4" t="str">
        <f>""</f>
        <v/>
      </c>
      <c r="BF100" s="4" t="str">
        <f>""</f>
        <v/>
      </c>
      <c r="BG100" s="4" t="str">
        <f>"2009"</f>
        <v>2009</v>
      </c>
      <c r="BH100" s="4" t="str">
        <f>"40,00"</f>
        <v>40,00</v>
      </c>
      <c r="BI100" s="4" t="str">
        <f>"2037-2039"</f>
        <v>2037-2039</v>
      </c>
      <c r="BJ100" s="4" t="str">
        <f t="shared" si="100"/>
        <v>нет</v>
      </c>
      <c r="BK100" s="4" t="str">
        <f>""</f>
        <v/>
      </c>
      <c r="BL100" s="4" t="str">
        <f>""</f>
        <v/>
      </c>
      <c r="BM100" s="4" t="str">
        <f>""</f>
        <v/>
      </c>
      <c r="BN100" s="4" t="str">
        <f t="shared" si="101"/>
        <v>нет</v>
      </c>
      <c r="BO100" s="4" t="str">
        <f>""</f>
        <v/>
      </c>
      <c r="BP100" s="4" t="str">
        <f>""</f>
        <v/>
      </c>
      <c r="BQ100" s="4" t="str">
        <f>""</f>
        <v/>
      </c>
      <c r="BR100" s="4" t="str">
        <f>"2009"</f>
        <v>2009</v>
      </c>
      <c r="BS100" s="4" t="str">
        <f>"45,00"</f>
        <v>45,00</v>
      </c>
      <c r="BT100" s="4" t="str">
        <f>"2039-2041"</f>
        <v>2039-2041</v>
      </c>
      <c r="BU100" s="4" t="str">
        <f t="shared" si="73"/>
        <v>нет</v>
      </c>
      <c r="BV100" s="4" t="str">
        <f t="shared" si="92"/>
        <v>x</v>
      </c>
      <c r="BW100" s="4" t="str">
        <f t="shared" si="92"/>
        <v>x</v>
      </c>
      <c r="BX100" s="4" t="str">
        <f t="shared" si="92"/>
        <v>x</v>
      </c>
      <c r="BY100" s="4" t="str">
        <f t="shared" si="74"/>
        <v>нет</v>
      </c>
      <c r="BZ100" s="4" t="str">
        <f t="shared" si="93"/>
        <v>x</v>
      </c>
      <c r="CA100" s="4" t="str">
        <f t="shared" si="93"/>
        <v>x</v>
      </c>
      <c r="CB100" s="4" t="str">
        <f t="shared" si="93"/>
        <v>x</v>
      </c>
      <c r="CC100" s="4" t="str">
        <f>"2009"</f>
        <v>2009</v>
      </c>
      <c r="CD100" s="4" t="str">
        <f>"50,00"</f>
        <v>50,00</v>
      </c>
      <c r="CE100" s="4" t="str">
        <f>"2039-2041"</f>
        <v>2039-2041</v>
      </c>
      <c r="CF100" s="4" t="str">
        <f>"1960"</f>
        <v>1960</v>
      </c>
      <c r="CG100" s="4" t="str">
        <f>"45,00"</f>
        <v>45,00</v>
      </c>
      <c r="CH100" s="4" t="str">
        <f>"2039-2041"</f>
        <v>2039-2041</v>
      </c>
      <c r="CI100" s="4" t="str">
        <f>"46,00"</f>
        <v>46,00</v>
      </c>
      <c r="CJ100" s="4" t="str">
        <f>"2037-2039"</f>
        <v>2037-2039</v>
      </c>
    </row>
    <row r="101" spans="1:88" ht="11.25" customHeight="1">
      <c r="A101" s="45" t="str">
        <f>"24.88"</f>
        <v>24.88</v>
      </c>
      <c r="B101" s="46" t="str">
        <f>"г. Харовск, ул.Ветеранов, д.9"</f>
        <v>г. Харовск, ул.Ветеранов, д.9</v>
      </c>
      <c r="C101" s="6" t="str">
        <f>"1950"</f>
        <v>1950</v>
      </c>
      <c r="D101" s="4" t="str">
        <f>"1971"</f>
        <v>1971</v>
      </c>
      <c r="E101" s="4" t="str">
        <f>"55,00"</f>
        <v>55,00</v>
      </c>
      <c r="F101" s="4" t="str">
        <f>"2030-2032"</f>
        <v>2030-2032</v>
      </c>
      <c r="G101" s="4" t="str">
        <f t="shared" si="91"/>
        <v>нет</v>
      </c>
      <c r="H101" s="4" t="str">
        <f>""</f>
        <v/>
      </c>
      <c r="I101" s="4" t="str">
        <f>""</f>
        <v/>
      </c>
      <c r="J101" s="4" t="str">
        <f>""</f>
        <v/>
      </c>
      <c r="K101" s="4" t="str">
        <f t="shared" si="72"/>
        <v>нет</v>
      </c>
      <c r="L101" s="4" t="str">
        <f>""</f>
        <v/>
      </c>
      <c r="M101" s="4" t="str">
        <f>""</f>
        <v/>
      </c>
      <c r="N101" s="4" t="str">
        <f>""</f>
        <v/>
      </c>
      <c r="O101" s="7" t="str">
        <f>"1971"</f>
        <v>1971</v>
      </c>
      <c r="P101" s="4" t="str">
        <f>"55,00"</f>
        <v>55,00</v>
      </c>
      <c r="Q101" s="4" t="str">
        <f>"2017-2019"</f>
        <v>2017-2019</v>
      </c>
      <c r="R101" s="4" t="str">
        <f>"нет"</f>
        <v>нет</v>
      </c>
      <c r="S101" s="4" t="str">
        <f>""</f>
        <v/>
      </c>
      <c r="T101" s="4" t="str">
        <f>""</f>
        <v/>
      </c>
      <c r="U101" s="4" t="str">
        <f>"2017-2019"</f>
        <v>2017-2019</v>
      </c>
      <c r="V101" s="4" t="str">
        <f t="shared" si="94"/>
        <v>нет</v>
      </c>
      <c r="W101" s="4" t="str">
        <f>""</f>
        <v/>
      </c>
      <c r="X101" s="4" t="str">
        <f>""</f>
        <v/>
      </c>
      <c r="Y101" s="8" t="str">
        <f>""</f>
        <v/>
      </c>
      <c r="Z101" s="4" t="str">
        <f t="shared" si="96"/>
        <v>х</v>
      </c>
      <c r="AA101" s="4" t="str">
        <f t="shared" si="96"/>
        <v>х</v>
      </c>
      <c r="AB101" s="4" t="str">
        <f t="shared" si="96"/>
        <v>х</v>
      </c>
      <c r="AC101" s="4" t="str">
        <f t="shared" si="96"/>
        <v>х</v>
      </c>
      <c r="AD101" s="4" t="str">
        <f t="shared" si="96"/>
        <v>х</v>
      </c>
      <c r="AE101" s="4" t="str">
        <f t="shared" si="99"/>
        <v>х</v>
      </c>
      <c r="AF101" s="4" t="str">
        <f t="shared" si="97"/>
        <v>х</v>
      </c>
      <c r="AG101" s="4" t="str">
        <f t="shared" si="97"/>
        <v>х</v>
      </c>
      <c r="AH101" s="4" t="str">
        <f t="shared" si="97"/>
        <v>х</v>
      </c>
      <c r="AI101" s="4" t="str">
        <f t="shared" si="97"/>
        <v>х</v>
      </c>
      <c r="AJ101" s="4" t="str">
        <f t="shared" si="97"/>
        <v>х</v>
      </c>
      <c r="AK101" s="7" t="str">
        <f>"1971"</f>
        <v>1971</v>
      </c>
      <c r="AL101" s="4" t="str">
        <f>"55,00"</f>
        <v>55,00</v>
      </c>
      <c r="AM101" s="4" t="str">
        <f>"2030-2032"</f>
        <v>2030-2032</v>
      </c>
      <c r="AN101" s="4" t="str">
        <f>"нет"</f>
        <v>нет</v>
      </c>
      <c r="AO101" s="4" t="str">
        <f>""</f>
        <v/>
      </c>
      <c r="AP101" s="4" t="str">
        <f>""</f>
        <v/>
      </c>
      <c r="AQ101" s="4" t="str">
        <f>""</f>
        <v/>
      </c>
      <c r="AR101" s="4" t="str">
        <f t="shared" si="95"/>
        <v>нет</v>
      </c>
      <c r="AS101" s="4" t="str">
        <f>""</f>
        <v/>
      </c>
      <c r="AT101" s="4" t="str">
        <f>""</f>
        <v/>
      </c>
      <c r="AU101" s="4" t="str">
        <f>""</f>
        <v/>
      </c>
      <c r="AV101" s="4" t="str">
        <f>"1971"</f>
        <v>1971</v>
      </c>
      <c r="AW101" s="4" t="str">
        <f>"55,00"</f>
        <v>55,00</v>
      </c>
      <c r="AX101" s="4" t="str">
        <f>"2030-2032"</f>
        <v>2030-2032</v>
      </c>
      <c r="AY101" s="4" t="str">
        <f>"нет"</f>
        <v>нет</v>
      </c>
      <c r="AZ101" s="4" t="str">
        <f>""</f>
        <v/>
      </c>
      <c r="BA101" s="4" t="str">
        <f>""</f>
        <v/>
      </c>
      <c r="BB101" s="4" t="str">
        <f>""</f>
        <v/>
      </c>
      <c r="BC101" s="4" t="str">
        <f>"нет"</f>
        <v>нет</v>
      </c>
      <c r="BD101" s="4" t="str">
        <f>""</f>
        <v/>
      </c>
      <c r="BE101" s="4" t="str">
        <f>""</f>
        <v/>
      </c>
      <c r="BF101" s="4" t="str">
        <f>""</f>
        <v/>
      </c>
      <c r="BG101" s="4" t="str">
        <f>"1971"</f>
        <v>1971</v>
      </c>
      <c r="BH101" s="4" t="str">
        <f>"55,00"</f>
        <v>55,00</v>
      </c>
      <c r="BI101" s="4" t="str">
        <f>"2030-2032"</f>
        <v>2030-2032</v>
      </c>
      <c r="BJ101" s="4" t="str">
        <f t="shared" si="100"/>
        <v>нет</v>
      </c>
      <c r="BK101" s="4" t="str">
        <f>""</f>
        <v/>
      </c>
      <c r="BL101" s="4" t="str">
        <f>""</f>
        <v/>
      </c>
      <c r="BM101" s="4" t="str">
        <f>""</f>
        <v/>
      </c>
      <c r="BN101" s="4" t="str">
        <f t="shared" si="101"/>
        <v>нет</v>
      </c>
      <c r="BO101" s="4" t="str">
        <f>""</f>
        <v/>
      </c>
      <c r="BP101" s="4" t="str">
        <f>""</f>
        <v/>
      </c>
      <c r="BQ101" s="4" t="str">
        <f>""</f>
        <v/>
      </c>
      <c r="BR101" s="4" t="str">
        <f>"1971"</f>
        <v>1971</v>
      </c>
      <c r="BS101" s="4" t="str">
        <f>"55,00"</f>
        <v>55,00</v>
      </c>
      <c r="BT101" s="4" t="str">
        <f>"2017-2019"</f>
        <v>2017-2019</v>
      </c>
      <c r="BU101" s="4" t="str">
        <f t="shared" si="73"/>
        <v>нет</v>
      </c>
      <c r="BV101" s="4" t="str">
        <f t="shared" si="92"/>
        <v>x</v>
      </c>
      <c r="BW101" s="4" t="str">
        <f t="shared" si="92"/>
        <v>x</v>
      </c>
      <c r="BX101" s="4" t="str">
        <f t="shared" si="92"/>
        <v>x</v>
      </c>
      <c r="BY101" s="4" t="str">
        <f t="shared" si="74"/>
        <v>нет</v>
      </c>
      <c r="BZ101" s="4" t="str">
        <f t="shared" si="93"/>
        <v>x</v>
      </c>
      <c r="CA101" s="4" t="str">
        <f t="shared" si="93"/>
        <v>x</v>
      </c>
      <c r="CB101" s="4" t="str">
        <f t="shared" si="93"/>
        <v>x</v>
      </c>
      <c r="CC101" s="4" t="str">
        <f>"1971"</f>
        <v>1971</v>
      </c>
      <c r="CD101" s="4" t="str">
        <f>"40,00"</f>
        <v>40,00</v>
      </c>
      <c r="CE101" s="4" t="str">
        <f>"2017-2019"</f>
        <v>2017-2019</v>
      </c>
      <c r="CF101" s="4" t="str">
        <f>"1971"</f>
        <v>1971</v>
      </c>
      <c r="CG101" s="4" t="str">
        <f>"60,00"</f>
        <v>60,00</v>
      </c>
      <c r="CH101" s="4" t="str">
        <f>"2030-2032"</f>
        <v>2030-2032</v>
      </c>
      <c r="CI101" s="4" t="str">
        <f>"55,00"</f>
        <v>55,00</v>
      </c>
      <c r="CJ101" s="4" t="str">
        <f>"2017-2019"</f>
        <v>2017-2019</v>
      </c>
    </row>
    <row r="102" spans="1:88" ht="11.25" customHeight="1">
      <c r="A102" s="45" t="str">
        <f>"24.89"</f>
        <v>24.89</v>
      </c>
      <c r="B102" s="46" t="str">
        <f>"г. Харовск, ул.Ворошилова, д.18"</f>
        <v>г. Харовск, ул.Ворошилова, д.18</v>
      </c>
      <c r="C102" s="6" t="str">
        <f>"1989"</f>
        <v>1989</v>
      </c>
      <c r="D102" s="4" t="str">
        <f>"1989"</f>
        <v>1989</v>
      </c>
      <c r="E102" s="4" t="str">
        <f>"20,00"</f>
        <v>20,00</v>
      </c>
      <c r="F102" s="4" t="str">
        <f>"2033-2035"</f>
        <v>2033-2035</v>
      </c>
      <c r="G102" s="4" t="str">
        <f t="shared" si="91"/>
        <v>нет</v>
      </c>
      <c r="H102" s="4" t="str">
        <f>""</f>
        <v/>
      </c>
      <c r="I102" s="4" t="str">
        <f>""</f>
        <v/>
      </c>
      <c r="J102" s="4" t="str">
        <f>""</f>
        <v/>
      </c>
      <c r="K102" s="4" t="str">
        <f t="shared" si="72"/>
        <v>нет</v>
      </c>
      <c r="L102" s="4" t="str">
        <f>""</f>
        <v/>
      </c>
      <c r="M102" s="4" t="str">
        <f>""</f>
        <v/>
      </c>
      <c r="N102" s="4" t="str">
        <f>""</f>
        <v/>
      </c>
      <c r="O102" s="7" t="str">
        <f>"1989"</f>
        <v>1989</v>
      </c>
      <c r="P102" s="4" t="str">
        <f>"20,00"</f>
        <v>20,00</v>
      </c>
      <c r="Q102" s="4" t="str">
        <f>"2033-2035"</f>
        <v>2033-2035</v>
      </c>
      <c r="R102" s="4" t="str">
        <f>"нет"</f>
        <v>нет</v>
      </c>
      <c r="S102" s="4" t="str">
        <f>""</f>
        <v/>
      </c>
      <c r="T102" s="4" t="str">
        <f>""</f>
        <v/>
      </c>
      <c r="U102" s="4" t="str">
        <f>""</f>
        <v/>
      </c>
      <c r="V102" s="4" t="str">
        <f t="shared" si="94"/>
        <v>нет</v>
      </c>
      <c r="W102" s="4" t="str">
        <f>""</f>
        <v/>
      </c>
      <c r="X102" s="4" t="str">
        <f>""</f>
        <v/>
      </c>
      <c r="Y102" s="8" t="str">
        <f>""</f>
        <v/>
      </c>
      <c r="Z102" s="4" t="str">
        <f t="shared" si="96"/>
        <v>х</v>
      </c>
      <c r="AA102" s="4" t="str">
        <f t="shared" si="96"/>
        <v>х</v>
      </c>
      <c r="AB102" s="4" t="str">
        <f t="shared" si="96"/>
        <v>х</v>
      </c>
      <c r="AC102" s="4" t="str">
        <f t="shared" si="96"/>
        <v>х</v>
      </c>
      <c r="AD102" s="4" t="str">
        <f t="shared" si="96"/>
        <v>х</v>
      </c>
      <c r="AE102" s="4" t="str">
        <f t="shared" si="99"/>
        <v>х</v>
      </c>
      <c r="AF102" s="4" t="str">
        <f t="shared" si="97"/>
        <v>х</v>
      </c>
      <c r="AG102" s="4" t="str">
        <f t="shared" si="97"/>
        <v>х</v>
      </c>
      <c r="AH102" s="4" t="str">
        <f t="shared" si="97"/>
        <v>х</v>
      </c>
      <c r="AI102" s="4" t="str">
        <f t="shared" si="97"/>
        <v>х</v>
      </c>
      <c r="AJ102" s="4" t="str">
        <f t="shared" si="97"/>
        <v>х</v>
      </c>
      <c r="AK102" s="7" t="str">
        <f>"1989"</f>
        <v>1989</v>
      </c>
      <c r="AL102" s="4" t="str">
        <f>"20,00"</f>
        <v>20,00</v>
      </c>
      <c r="AM102" s="4" t="str">
        <f>"2033-2035"</f>
        <v>2033-2035</v>
      </c>
      <c r="AN102" s="4" t="str">
        <f>"да"</f>
        <v>да</v>
      </c>
      <c r="AO102" s="4" t="str">
        <f>"2013"</f>
        <v>2013</v>
      </c>
      <c r="AP102" s="4" t="str">
        <f>"1,00"</f>
        <v>1,00</v>
      </c>
      <c r="AQ102" s="4" t="str">
        <f>"2033-2035"</f>
        <v>2033-2035</v>
      </c>
      <c r="AR102" s="4" t="str">
        <f t="shared" si="95"/>
        <v>нет</v>
      </c>
      <c r="AS102" s="4" t="str">
        <f>""</f>
        <v/>
      </c>
      <c r="AT102" s="4" t="str">
        <f>""</f>
        <v/>
      </c>
      <c r="AU102" s="4" t="str">
        <f>""</f>
        <v/>
      </c>
      <c r="AV102" s="4" t="str">
        <f>""</f>
        <v/>
      </c>
      <c r="AW102" s="4" t="str">
        <f>""</f>
        <v/>
      </c>
      <c r="AX102" s="4" t="str">
        <f>""</f>
        <v/>
      </c>
      <c r="AY102" s="4" t="str">
        <f>""</f>
        <v/>
      </c>
      <c r="AZ102" s="4" t="str">
        <f>""</f>
        <v/>
      </c>
      <c r="BA102" s="4" t="str">
        <f>""</f>
        <v/>
      </c>
      <c r="BB102" s="4" t="str">
        <f>""</f>
        <v/>
      </c>
      <c r="BC102" s="4" t="str">
        <f>""</f>
        <v/>
      </c>
      <c r="BD102" s="4" t="str">
        <f>""</f>
        <v/>
      </c>
      <c r="BE102" s="4" t="str">
        <f>""</f>
        <v/>
      </c>
      <c r="BF102" s="4" t="str">
        <f>""</f>
        <v/>
      </c>
      <c r="BG102" s="4" t="str">
        <f>"1989"</f>
        <v>1989</v>
      </c>
      <c r="BH102" s="4" t="str">
        <f>"20,00"</f>
        <v>20,00</v>
      </c>
      <c r="BI102" s="4" t="str">
        <f>"2033-2035"</f>
        <v>2033-2035</v>
      </c>
      <c r="BJ102" s="4" t="str">
        <f t="shared" si="100"/>
        <v>нет</v>
      </c>
      <c r="BK102" s="4" t="str">
        <f>""</f>
        <v/>
      </c>
      <c r="BL102" s="4" t="str">
        <f>""</f>
        <v/>
      </c>
      <c r="BM102" s="4" t="str">
        <f>""</f>
        <v/>
      </c>
      <c r="BN102" s="4" t="str">
        <f t="shared" si="101"/>
        <v>нет</v>
      </c>
      <c r="BO102" s="4" t="str">
        <f>""</f>
        <v/>
      </c>
      <c r="BP102" s="4" t="str">
        <f>""</f>
        <v/>
      </c>
      <c r="BQ102" s="4" t="str">
        <f>""</f>
        <v/>
      </c>
      <c r="BR102" s="4" t="str">
        <f>"1989"</f>
        <v>1989</v>
      </c>
      <c r="BS102" s="4" t="str">
        <f>"20,00"</f>
        <v>20,00</v>
      </c>
      <c r="BT102" s="4" t="str">
        <f>"2033-2035"</f>
        <v>2033-2035</v>
      </c>
      <c r="BU102" s="4" t="str">
        <f t="shared" si="73"/>
        <v>нет</v>
      </c>
      <c r="BV102" s="4" t="str">
        <f t="shared" si="92"/>
        <v>x</v>
      </c>
      <c r="BW102" s="4" t="str">
        <f t="shared" si="92"/>
        <v>x</v>
      </c>
      <c r="BX102" s="4" t="str">
        <f t="shared" si="92"/>
        <v>x</v>
      </c>
      <c r="BY102" s="4" t="str">
        <f t="shared" si="74"/>
        <v>нет</v>
      </c>
      <c r="BZ102" s="4" t="str">
        <f t="shared" si="93"/>
        <v>x</v>
      </c>
      <c r="CA102" s="4" t="str">
        <f t="shared" si="93"/>
        <v>x</v>
      </c>
      <c r="CB102" s="4" t="str">
        <f t="shared" si="93"/>
        <v>x</v>
      </c>
      <c r="CC102" s="4" t="str">
        <f>"1989"</f>
        <v>1989</v>
      </c>
      <c r="CD102" s="4" t="str">
        <f>"15,00"</f>
        <v>15,00</v>
      </c>
      <c r="CE102" s="4" t="str">
        <f>"2033-2035"</f>
        <v>2033-2035</v>
      </c>
      <c r="CF102" s="4" t="str">
        <f>"1989"</f>
        <v>1989</v>
      </c>
      <c r="CG102" s="4" t="str">
        <f>"15,00"</f>
        <v>15,00</v>
      </c>
      <c r="CH102" s="4" t="str">
        <f>"2033-2035"</f>
        <v>2033-2035</v>
      </c>
      <c r="CI102" s="4" t="str">
        <f>"18,00"</f>
        <v>18,00</v>
      </c>
      <c r="CJ102" s="4" t="str">
        <f>"2033-2035"</f>
        <v>2033-2035</v>
      </c>
    </row>
    <row r="103" spans="1:88" ht="11.25" customHeight="1">
      <c r="A103" s="45" t="str">
        <f>"24.90"</f>
        <v>24.90</v>
      </c>
      <c r="B103" s="46" t="str">
        <f>"г. Харовск, ул.Ворошилова, д.6"</f>
        <v>г. Харовск, ул.Ворошилова, д.6</v>
      </c>
      <c r="C103" s="6" t="str">
        <f>"1996"</f>
        <v>1996</v>
      </c>
      <c r="D103" s="4" t="str">
        <f>"1996"</f>
        <v>1996</v>
      </c>
      <c r="E103" s="4" t="str">
        <f>"15,00"</f>
        <v>15,00</v>
      </c>
      <c r="F103" s="4" t="str">
        <f>"2036-2038"</f>
        <v>2036-2038</v>
      </c>
      <c r="G103" s="4" t="str">
        <f t="shared" si="91"/>
        <v>нет</v>
      </c>
      <c r="H103" s="4" t="str">
        <f>""</f>
        <v/>
      </c>
      <c r="I103" s="4" t="str">
        <f>""</f>
        <v/>
      </c>
      <c r="J103" s="4" t="str">
        <f>""</f>
        <v/>
      </c>
      <c r="K103" s="4" t="str">
        <f t="shared" si="72"/>
        <v>нет</v>
      </c>
      <c r="L103" s="4" t="str">
        <f>""</f>
        <v/>
      </c>
      <c r="M103" s="4" t="str">
        <f>""</f>
        <v/>
      </c>
      <c r="N103" s="4" t="str">
        <f>""</f>
        <v/>
      </c>
      <c r="O103" s="7" t="str">
        <f>"1996"</f>
        <v>1996</v>
      </c>
      <c r="P103" s="4" t="str">
        <f>"15,00"</f>
        <v>15,00</v>
      </c>
      <c r="Q103" s="4" t="str">
        <f>"2036-2038"</f>
        <v>2036-2038</v>
      </c>
      <c r="R103" s="4" t="str">
        <f>"нет"</f>
        <v>нет</v>
      </c>
      <c r="S103" s="4" t="str">
        <f t="shared" ref="S103:U104" si="102">"х"</f>
        <v>х</v>
      </c>
      <c r="T103" s="4" t="str">
        <f t="shared" si="102"/>
        <v>х</v>
      </c>
      <c r="U103" s="4" t="str">
        <f t="shared" si="102"/>
        <v>х</v>
      </c>
      <c r="V103" s="4" t="str">
        <f t="shared" si="94"/>
        <v>нет</v>
      </c>
      <c r="W103" s="4" t="str">
        <f t="shared" ref="W103:Y104" si="103">"х"</f>
        <v>х</v>
      </c>
      <c r="X103" s="4" t="str">
        <f t="shared" si="103"/>
        <v>х</v>
      </c>
      <c r="Y103" s="8" t="str">
        <f t="shared" si="103"/>
        <v>х</v>
      </c>
      <c r="Z103" s="4" t="str">
        <f t="shared" si="96"/>
        <v>х</v>
      </c>
      <c r="AA103" s="4" t="str">
        <f t="shared" si="96"/>
        <v>х</v>
      </c>
      <c r="AB103" s="4" t="str">
        <f t="shared" si="96"/>
        <v>х</v>
      </c>
      <c r="AC103" s="4" t="str">
        <f t="shared" si="96"/>
        <v>х</v>
      </c>
      <c r="AD103" s="4" t="str">
        <f t="shared" si="96"/>
        <v>х</v>
      </c>
      <c r="AE103" s="4" t="str">
        <f t="shared" si="99"/>
        <v>х</v>
      </c>
      <c r="AF103" s="4" t="str">
        <f t="shared" si="97"/>
        <v>х</v>
      </c>
      <c r="AG103" s="4" t="str">
        <f t="shared" si="97"/>
        <v>х</v>
      </c>
      <c r="AH103" s="4" t="str">
        <f t="shared" si="97"/>
        <v>х</v>
      </c>
      <c r="AI103" s="4" t="str">
        <f t="shared" si="97"/>
        <v>х</v>
      </c>
      <c r="AJ103" s="4" t="str">
        <f t="shared" si="97"/>
        <v>х</v>
      </c>
      <c r="AK103" s="7" t="str">
        <f>"1996"</f>
        <v>1996</v>
      </c>
      <c r="AL103" s="4" t="str">
        <f>"15,00"</f>
        <v>15,00</v>
      </c>
      <c r="AM103" s="4" t="str">
        <f>"2036-2038"</f>
        <v>2036-2038</v>
      </c>
      <c r="AN103" s="4" t="str">
        <f>"да"</f>
        <v>да</v>
      </c>
      <c r="AO103" s="4" t="str">
        <f>"2013"</f>
        <v>2013</v>
      </c>
      <c r="AP103" s="4" t="str">
        <f>"1,00"</f>
        <v>1,00</v>
      </c>
      <c r="AQ103" s="4" t="str">
        <f>"2019-2021"</f>
        <v>2019-2021</v>
      </c>
      <c r="AR103" s="4" t="str">
        <f t="shared" si="95"/>
        <v>нет</v>
      </c>
      <c r="AS103" s="4" t="str">
        <f t="shared" ref="AS103:AU104" si="104">"х"</f>
        <v>х</v>
      </c>
      <c r="AT103" s="4" t="str">
        <f t="shared" si="104"/>
        <v>х</v>
      </c>
      <c r="AU103" s="4" t="str">
        <f t="shared" si="104"/>
        <v>х</v>
      </c>
      <c r="AV103" s="4" t="str">
        <f>"1996"</f>
        <v>1996</v>
      </c>
      <c r="AW103" s="4" t="str">
        <f>"15,00"</f>
        <v>15,00</v>
      </c>
      <c r="AX103" s="4" t="str">
        <f>"2036-2038"</f>
        <v>2036-2038</v>
      </c>
      <c r="AY103" s="4" t="str">
        <f>"нет"</f>
        <v>нет</v>
      </c>
      <c r="AZ103" s="4" t="str">
        <f t="shared" ref="AZ103:BB106" si="105">"х"</f>
        <v>х</v>
      </c>
      <c r="BA103" s="4" t="str">
        <f t="shared" si="105"/>
        <v>х</v>
      </c>
      <c r="BB103" s="4" t="str">
        <f t="shared" si="105"/>
        <v>х</v>
      </c>
      <c r="BC103" s="4" t="str">
        <f>"нет"</f>
        <v>нет</v>
      </c>
      <c r="BD103" s="4" t="str">
        <f t="shared" ref="BD103:BF106" si="106">"х"</f>
        <v>х</v>
      </c>
      <c r="BE103" s="4" t="str">
        <f t="shared" si="106"/>
        <v>х</v>
      </c>
      <c r="BF103" s="4" t="str">
        <f t="shared" si="106"/>
        <v>х</v>
      </c>
      <c r="BG103" s="4" t="str">
        <f>"1996"</f>
        <v>1996</v>
      </c>
      <c r="BH103" s="4" t="str">
        <f>"15,00"</f>
        <v>15,00</v>
      </c>
      <c r="BI103" s="4" t="str">
        <f>"2036-2038"</f>
        <v>2036-2038</v>
      </c>
      <c r="BJ103" s="4" t="str">
        <f t="shared" si="100"/>
        <v>нет</v>
      </c>
      <c r="BK103" s="4" t="str">
        <f t="shared" ref="BK103:BM104" si="107">"х"</f>
        <v>х</v>
      </c>
      <c r="BL103" s="4" t="str">
        <f t="shared" si="107"/>
        <v>х</v>
      </c>
      <c r="BM103" s="4" t="str">
        <f t="shared" si="107"/>
        <v>х</v>
      </c>
      <c r="BN103" s="4" t="str">
        <f t="shared" si="101"/>
        <v>нет</v>
      </c>
      <c r="BO103" s="4" t="str">
        <f t="shared" ref="BO103:BQ104" si="108">"х"</f>
        <v>х</v>
      </c>
      <c r="BP103" s="4" t="str">
        <f t="shared" si="108"/>
        <v>х</v>
      </c>
      <c r="BQ103" s="4" t="str">
        <f t="shared" si="108"/>
        <v>х</v>
      </c>
      <c r="BR103" s="4" t="str">
        <f>"1996"</f>
        <v>1996</v>
      </c>
      <c r="BS103" s="4" t="str">
        <f>"10,00"</f>
        <v>10,00</v>
      </c>
      <c r="BT103" s="4" t="str">
        <f>"2036-2038"</f>
        <v>2036-2038</v>
      </c>
      <c r="BU103" s="4" t="str">
        <f t="shared" si="73"/>
        <v>нет</v>
      </c>
      <c r="BV103" s="4" t="str">
        <f t="shared" si="92"/>
        <v>x</v>
      </c>
      <c r="BW103" s="4" t="str">
        <f t="shared" si="92"/>
        <v>x</v>
      </c>
      <c r="BX103" s="4" t="str">
        <f t="shared" si="92"/>
        <v>x</v>
      </c>
      <c r="BY103" s="4" t="str">
        <f t="shared" si="74"/>
        <v>нет</v>
      </c>
      <c r="BZ103" s="4" t="str">
        <f t="shared" si="93"/>
        <v>x</v>
      </c>
      <c r="CA103" s="4" t="str">
        <f t="shared" si="93"/>
        <v>x</v>
      </c>
      <c r="CB103" s="4" t="str">
        <f t="shared" si="93"/>
        <v>x</v>
      </c>
      <c r="CC103" s="4" t="str">
        <f>"1996"</f>
        <v>1996</v>
      </c>
      <c r="CD103" s="4" t="str">
        <f>"5,00"</f>
        <v>5,00</v>
      </c>
      <c r="CE103" s="4" t="str">
        <f>"2036-2038"</f>
        <v>2036-2038</v>
      </c>
      <c r="CF103" s="4" t="str">
        <f>"1996"</f>
        <v>1996</v>
      </c>
      <c r="CG103" s="4" t="str">
        <f>"5,00"</f>
        <v>5,00</v>
      </c>
      <c r="CH103" s="4" t="str">
        <f>"2036-2038"</f>
        <v>2036-2038</v>
      </c>
      <c r="CI103" s="4" t="str">
        <f>"10,00"</f>
        <v>10,00</v>
      </c>
      <c r="CJ103" s="4" t="str">
        <f>"2036-2038"</f>
        <v>2036-2038</v>
      </c>
    </row>
    <row r="104" spans="1:88" ht="11.25" customHeight="1">
      <c r="A104" s="45" t="str">
        <f>"24.91"</f>
        <v>24.91</v>
      </c>
      <c r="B104" s="46" t="str">
        <f>"г. Харовск, ул.Восточная, д.10"</f>
        <v>г. Харовск, ул.Восточная, д.10</v>
      </c>
      <c r="C104" s="6" t="str">
        <f>"1975"</f>
        <v>1975</v>
      </c>
      <c r="D104" s="4" t="str">
        <f>"1975"</f>
        <v>1975</v>
      </c>
      <c r="E104" s="4" t="str">
        <f>"50,00"</f>
        <v>50,00</v>
      </c>
      <c r="F104" s="4" t="str">
        <f>"2026-2028"</f>
        <v>2026-2028</v>
      </c>
      <c r="G104" s="4" t="str">
        <f t="shared" si="91"/>
        <v>нет</v>
      </c>
      <c r="H104" s="4" t="str">
        <f>""</f>
        <v/>
      </c>
      <c r="I104" s="4" t="str">
        <f>""</f>
        <v/>
      </c>
      <c r="J104" s="4" t="str">
        <f>""</f>
        <v/>
      </c>
      <c r="K104" s="4" t="str">
        <f t="shared" si="72"/>
        <v>нет</v>
      </c>
      <c r="L104" s="4" t="str">
        <f>""</f>
        <v/>
      </c>
      <c r="M104" s="4" t="str">
        <f>""</f>
        <v/>
      </c>
      <c r="N104" s="4" t="str">
        <f>""</f>
        <v/>
      </c>
      <c r="O104" s="7" t="str">
        <f>"1975"</f>
        <v>1975</v>
      </c>
      <c r="P104" s="4" t="str">
        <f>"50,00"</f>
        <v>50,00</v>
      </c>
      <c r="Q104" s="4" t="str">
        <f>"2026-2028"</f>
        <v>2026-2028</v>
      </c>
      <c r="R104" s="4" t="str">
        <f>"нет"</f>
        <v>нет</v>
      </c>
      <c r="S104" s="4" t="str">
        <f t="shared" si="102"/>
        <v>х</v>
      </c>
      <c r="T104" s="4" t="str">
        <f t="shared" si="102"/>
        <v>х</v>
      </c>
      <c r="U104" s="4" t="str">
        <f t="shared" si="102"/>
        <v>х</v>
      </c>
      <c r="V104" s="4" t="str">
        <f t="shared" si="94"/>
        <v>нет</v>
      </c>
      <c r="W104" s="4" t="str">
        <f t="shared" si="103"/>
        <v>х</v>
      </c>
      <c r="X104" s="4" t="str">
        <f t="shared" si="103"/>
        <v>х</v>
      </c>
      <c r="Y104" s="8" t="str">
        <f t="shared" si="103"/>
        <v>х</v>
      </c>
      <c r="Z104" s="4" t="str">
        <f t="shared" si="96"/>
        <v>х</v>
      </c>
      <c r="AA104" s="4" t="str">
        <f t="shared" si="96"/>
        <v>х</v>
      </c>
      <c r="AB104" s="4" t="str">
        <f t="shared" si="96"/>
        <v>х</v>
      </c>
      <c r="AC104" s="4" t="str">
        <f t="shared" si="96"/>
        <v>х</v>
      </c>
      <c r="AD104" s="4" t="str">
        <f t="shared" si="96"/>
        <v>х</v>
      </c>
      <c r="AE104" s="4" t="str">
        <f t="shared" si="99"/>
        <v>х</v>
      </c>
      <c r="AF104" s="4" t="str">
        <f t="shared" si="97"/>
        <v>х</v>
      </c>
      <c r="AG104" s="4" t="str">
        <f t="shared" si="97"/>
        <v>х</v>
      </c>
      <c r="AH104" s="4" t="str">
        <f t="shared" si="97"/>
        <v>х</v>
      </c>
      <c r="AI104" s="4" t="str">
        <f t="shared" si="97"/>
        <v>х</v>
      </c>
      <c r="AJ104" s="4" t="str">
        <f t="shared" si="97"/>
        <v>х</v>
      </c>
      <c r="AK104" s="7" t="str">
        <f>"1975"</f>
        <v>1975</v>
      </c>
      <c r="AL104" s="4" t="str">
        <f>"50,00"</f>
        <v>50,00</v>
      </c>
      <c r="AM104" s="4" t="str">
        <f>"2026-2028"</f>
        <v>2026-2028</v>
      </c>
      <c r="AN104" s="4" t="str">
        <f>"нет"</f>
        <v>нет</v>
      </c>
      <c r="AO104" s="4" t="str">
        <f>"х"</f>
        <v>х</v>
      </c>
      <c r="AP104" s="4" t="str">
        <f>"х"</f>
        <v>х</v>
      </c>
      <c r="AQ104" s="4" t="str">
        <f>"х"</f>
        <v>х</v>
      </c>
      <c r="AR104" s="4" t="str">
        <f t="shared" si="95"/>
        <v>нет</v>
      </c>
      <c r="AS104" s="4" t="str">
        <f t="shared" si="104"/>
        <v>х</v>
      </c>
      <c r="AT104" s="4" t="str">
        <f t="shared" si="104"/>
        <v>х</v>
      </c>
      <c r="AU104" s="4" t="str">
        <f t="shared" si="104"/>
        <v>х</v>
      </c>
      <c r="AV104" s="4" t="str">
        <f t="shared" ref="AV104:AY106" si="109">"х"</f>
        <v>х</v>
      </c>
      <c r="AW104" s="4" t="str">
        <f t="shared" si="109"/>
        <v>х</v>
      </c>
      <c r="AX104" s="4" t="str">
        <f t="shared" si="109"/>
        <v>х</v>
      </c>
      <c r="AY104" s="4" t="str">
        <f t="shared" si="109"/>
        <v>х</v>
      </c>
      <c r="AZ104" s="4" t="str">
        <f t="shared" si="105"/>
        <v>х</v>
      </c>
      <c r="BA104" s="4" t="str">
        <f t="shared" si="105"/>
        <v>х</v>
      </c>
      <c r="BB104" s="4" t="str">
        <f t="shared" si="105"/>
        <v>х</v>
      </c>
      <c r="BC104" s="4" t="str">
        <f>"х"</f>
        <v>х</v>
      </c>
      <c r="BD104" s="4" t="str">
        <f t="shared" si="106"/>
        <v>х</v>
      </c>
      <c r="BE104" s="4" t="str">
        <f t="shared" si="106"/>
        <v>х</v>
      </c>
      <c r="BF104" s="4" t="str">
        <f t="shared" si="106"/>
        <v>х</v>
      </c>
      <c r="BG104" s="4" t="str">
        <f>"1975"</f>
        <v>1975</v>
      </c>
      <c r="BH104" s="4" t="str">
        <f>"50,00"</f>
        <v>50,00</v>
      </c>
      <c r="BI104" s="4" t="str">
        <f>"2026-2028"</f>
        <v>2026-2028</v>
      </c>
      <c r="BJ104" s="4" t="str">
        <f t="shared" si="100"/>
        <v>нет</v>
      </c>
      <c r="BK104" s="4" t="str">
        <f t="shared" si="107"/>
        <v>х</v>
      </c>
      <c r="BL104" s="4" t="str">
        <f t="shared" si="107"/>
        <v>х</v>
      </c>
      <c r="BM104" s="4" t="str">
        <f t="shared" si="107"/>
        <v>х</v>
      </c>
      <c r="BN104" s="4" t="str">
        <f t="shared" si="101"/>
        <v>нет</v>
      </c>
      <c r="BO104" s="4" t="str">
        <f t="shared" si="108"/>
        <v>х</v>
      </c>
      <c r="BP104" s="4" t="str">
        <f t="shared" si="108"/>
        <v>х</v>
      </c>
      <c r="BQ104" s="4" t="str">
        <f t="shared" si="108"/>
        <v>х</v>
      </c>
      <c r="BR104" s="4" t="str">
        <f>"1975"</f>
        <v>1975</v>
      </c>
      <c r="BS104" s="4" t="str">
        <f>"45,00"</f>
        <v>45,00</v>
      </c>
      <c r="BT104" s="4" t="str">
        <f>"2026-2028"</f>
        <v>2026-2028</v>
      </c>
      <c r="BU104" s="4" t="str">
        <f t="shared" si="73"/>
        <v>нет</v>
      </c>
      <c r="BV104" s="4" t="str">
        <f t="shared" si="92"/>
        <v>x</v>
      </c>
      <c r="BW104" s="4" t="str">
        <f t="shared" si="92"/>
        <v>x</v>
      </c>
      <c r="BX104" s="4" t="str">
        <f t="shared" si="92"/>
        <v>x</v>
      </c>
      <c r="BY104" s="4" t="str">
        <f t="shared" si="74"/>
        <v>нет</v>
      </c>
      <c r="BZ104" s="4" t="str">
        <f t="shared" si="93"/>
        <v>x</v>
      </c>
      <c r="CA104" s="4" t="str">
        <f t="shared" si="93"/>
        <v>x</v>
      </c>
      <c r="CB104" s="4" t="str">
        <f t="shared" si="93"/>
        <v>x</v>
      </c>
      <c r="CC104" s="4" t="str">
        <f>"1975"</f>
        <v>1975</v>
      </c>
      <c r="CD104" s="4" t="str">
        <f>"40,00"</f>
        <v>40,00</v>
      </c>
      <c r="CE104" s="4" t="str">
        <f>"2026-2028"</f>
        <v>2026-2028</v>
      </c>
      <c r="CF104" s="4" t="str">
        <f>"1975"</f>
        <v>1975</v>
      </c>
      <c r="CG104" s="4" t="str">
        <f>"30,00"</f>
        <v>30,00</v>
      </c>
      <c r="CH104" s="4" t="str">
        <f>"2026-2028"</f>
        <v>2026-2028</v>
      </c>
      <c r="CI104" s="4" t="str">
        <f>"40,00"</f>
        <v>40,00</v>
      </c>
      <c r="CJ104" s="4" t="str">
        <f>"2026-2028"</f>
        <v>2026-2028</v>
      </c>
    </row>
    <row r="105" spans="1:88" ht="11.25" customHeight="1">
      <c r="A105" s="45" t="str">
        <f>"24.92"</f>
        <v>24.92</v>
      </c>
      <c r="B105" s="46" t="str">
        <f>"г. Харовск, ул.Восточная, д.2А"</f>
        <v>г. Харовск, ул.Восточная, д.2А</v>
      </c>
      <c r="C105" s="6" t="str">
        <f>"1982"</f>
        <v>1982</v>
      </c>
      <c r="D105" s="4" t="str">
        <f>"1982"</f>
        <v>1982</v>
      </c>
      <c r="E105" s="4" t="str">
        <f>"35,00"</f>
        <v>35,00</v>
      </c>
      <c r="F105" s="4" t="str">
        <f>"2029-2031"</f>
        <v>2029-2031</v>
      </c>
      <c r="G105" s="4" t="str">
        <f t="shared" si="91"/>
        <v>нет</v>
      </c>
      <c r="H105" s="4" t="str">
        <f>""</f>
        <v/>
      </c>
      <c r="I105" s="4" t="str">
        <f>""</f>
        <v/>
      </c>
      <c r="J105" s="4" t="str">
        <f>""</f>
        <v/>
      </c>
      <c r="K105" s="4" t="str">
        <f t="shared" si="72"/>
        <v>нет</v>
      </c>
      <c r="L105" s="4" t="str">
        <f>""</f>
        <v/>
      </c>
      <c r="M105" s="4" t="str">
        <f>""</f>
        <v/>
      </c>
      <c r="N105" s="4" t="str">
        <f>""</f>
        <v/>
      </c>
      <c r="O105" s="7" t="str">
        <f>"1982"</f>
        <v>1982</v>
      </c>
      <c r="P105" s="4" t="str">
        <f>"35,00"</f>
        <v>35,00</v>
      </c>
      <c r="Q105" s="4" t="str">
        <f>"2029-2031"</f>
        <v>2029-2031</v>
      </c>
      <c r="R105" s="4" t="str">
        <f>"да"</f>
        <v>да</v>
      </c>
      <c r="S105" s="4" t="str">
        <f>"2011"</f>
        <v>2011</v>
      </c>
      <c r="T105" s="4" t="str">
        <f>"50,00"</f>
        <v>50,00</v>
      </c>
      <c r="U105" s="4" t="str">
        <f>"2029-2031"</f>
        <v>2029-2031</v>
      </c>
      <c r="V105" s="4" t="str">
        <f t="shared" si="94"/>
        <v>нет</v>
      </c>
      <c r="W105" s="4" t="str">
        <f>""</f>
        <v/>
      </c>
      <c r="X105" s="4" t="str">
        <f>""</f>
        <v/>
      </c>
      <c r="Y105" s="8" t="str">
        <f>""</f>
        <v/>
      </c>
      <c r="Z105" s="4" t="str">
        <f t="shared" si="96"/>
        <v>х</v>
      </c>
      <c r="AA105" s="4" t="str">
        <f t="shared" si="96"/>
        <v>х</v>
      </c>
      <c r="AB105" s="4" t="str">
        <f t="shared" si="96"/>
        <v>х</v>
      </c>
      <c r="AC105" s="4" t="str">
        <f t="shared" si="96"/>
        <v>х</v>
      </c>
      <c r="AD105" s="4" t="str">
        <f t="shared" si="96"/>
        <v>х</v>
      </c>
      <c r="AE105" s="4" t="str">
        <f t="shared" si="99"/>
        <v>х</v>
      </c>
      <c r="AF105" s="4" t="str">
        <f t="shared" si="97"/>
        <v>х</v>
      </c>
      <c r="AG105" s="4" t="str">
        <f t="shared" si="97"/>
        <v>х</v>
      </c>
      <c r="AH105" s="4" t="str">
        <f t="shared" si="97"/>
        <v>х</v>
      </c>
      <c r="AI105" s="4" t="str">
        <f t="shared" si="97"/>
        <v>х</v>
      </c>
      <c r="AJ105" s="4" t="str">
        <f t="shared" si="97"/>
        <v>х</v>
      </c>
      <c r="AK105" s="7" t="str">
        <f>"1982"</f>
        <v>1982</v>
      </c>
      <c r="AL105" s="4" t="str">
        <f>"35,00"</f>
        <v>35,00</v>
      </c>
      <c r="AM105" s="4" t="str">
        <f>"2029-2031"</f>
        <v>2029-2031</v>
      </c>
      <c r="AN105" s="4" t="str">
        <f>"нет"</f>
        <v>нет</v>
      </c>
      <c r="AO105" s="4" t="str">
        <f>""</f>
        <v/>
      </c>
      <c r="AP105" s="4" t="str">
        <f>""</f>
        <v/>
      </c>
      <c r="AQ105" s="4" t="str">
        <f>""</f>
        <v/>
      </c>
      <c r="AR105" s="4" t="str">
        <f t="shared" si="95"/>
        <v>нет</v>
      </c>
      <c r="AS105" s="4" t="str">
        <f>""</f>
        <v/>
      </c>
      <c r="AT105" s="4" t="str">
        <f>""</f>
        <v/>
      </c>
      <c r="AU105" s="4" t="str">
        <f>""</f>
        <v/>
      </c>
      <c r="AV105" s="4" t="str">
        <f t="shared" si="109"/>
        <v>х</v>
      </c>
      <c r="AW105" s="4" t="str">
        <f t="shared" si="109"/>
        <v>х</v>
      </c>
      <c r="AX105" s="4" t="str">
        <f t="shared" si="109"/>
        <v>х</v>
      </c>
      <c r="AY105" s="4" t="str">
        <f t="shared" si="109"/>
        <v>х</v>
      </c>
      <c r="AZ105" s="4" t="str">
        <f t="shared" si="105"/>
        <v>х</v>
      </c>
      <c r="BA105" s="4" t="str">
        <f t="shared" si="105"/>
        <v>х</v>
      </c>
      <c r="BB105" s="4" t="str">
        <f t="shared" si="105"/>
        <v>х</v>
      </c>
      <c r="BC105" s="4" t="str">
        <f>"х"</f>
        <v>х</v>
      </c>
      <c r="BD105" s="4" t="str">
        <f t="shared" si="106"/>
        <v>х</v>
      </c>
      <c r="BE105" s="4" t="str">
        <f t="shared" si="106"/>
        <v>х</v>
      </c>
      <c r="BF105" s="4" t="str">
        <f t="shared" si="106"/>
        <v>х</v>
      </c>
      <c r="BG105" s="4" t="str">
        <f>"1982"</f>
        <v>1982</v>
      </c>
      <c r="BH105" s="4" t="str">
        <f>"35,00"</f>
        <v>35,00</v>
      </c>
      <c r="BI105" s="4" t="str">
        <f>"2029-2031"</f>
        <v>2029-2031</v>
      </c>
      <c r="BJ105" s="4" t="str">
        <f t="shared" si="100"/>
        <v>нет</v>
      </c>
      <c r="BK105" s="4" t="str">
        <f>""</f>
        <v/>
      </c>
      <c r="BL105" s="4" t="str">
        <f>""</f>
        <v/>
      </c>
      <c r="BM105" s="4" t="str">
        <f>""</f>
        <v/>
      </c>
      <c r="BN105" s="4" t="str">
        <f t="shared" si="101"/>
        <v>нет</v>
      </c>
      <c r="BO105" s="4" t="str">
        <f>""</f>
        <v/>
      </c>
      <c r="BP105" s="4" t="str">
        <f>""</f>
        <v/>
      </c>
      <c r="BQ105" s="4" t="str">
        <f>""</f>
        <v/>
      </c>
      <c r="BR105" s="4" t="str">
        <f>"1982"</f>
        <v>1982</v>
      </c>
      <c r="BS105" s="4" t="str">
        <f>"40,00"</f>
        <v>40,00</v>
      </c>
      <c r="BT105" s="4" t="str">
        <f>"2029-2031"</f>
        <v>2029-2031</v>
      </c>
      <c r="BU105" s="4" t="str">
        <f t="shared" si="73"/>
        <v>нет</v>
      </c>
      <c r="BV105" s="4" t="str">
        <f t="shared" si="92"/>
        <v>x</v>
      </c>
      <c r="BW105" s="4" t="str">
        <f t="shared" si="92"/>
        <v>x</v>
      </c>
      <c r="BX105" s="4" t="str">
        <f t="shared" si="92"/>
        <v>x</v>
      </c>
      <c r="BY105" s="4" t="str">
        <f t="shared" si="74"/>
        <v>нет</v>
      </c>
      <c r="BZ105" s="4" t="str">
        <f t="shared" si="93"/>
        <v>x</v>
      </c>
      <c r="CA105" s="4" t="str">
        <f t="shared" si="93"/>
        <v>x</v>
      </c>
      <c r="CB105" s="4" t="str">
        <f t="shared" si="93"/>
        <v>x</v>
      </c>
      <c r="CC105" s="4" t="str">
        <f>"1982"</f>
        <v>1982</v>
      </c>
      <c r="CD105" s="4" t="str">
        <f>"30,00"</f>
        <v>30,00</v>
      </c>
      <c r="CE105" s="4" t="str">
        <f>"2029-2031"</f>
        <v>2029-2031</v>
      </c>
      <c r="CF105" s="4" t="str">
        <f>"1982"</f>
        <v>1982</v>
      </c>
      <c r="CG105" s="4" t="str">
        <f>"30,00"</f>
        <v>30,00</v>
      </c>
      <c r="CH105" s="4" t="str">
        <f>"2029-2031"</f>
        <v>2029-2031</v>
      </c>
      <c r="CI105" s="4" t="str">
        <f>"26,00"</f>
        <v>26,00</v>
      </c>
      <c r="CJ105" s="4" t="str">
        <f>"2029-2031"</f>
        <v>2029-2031</v>
      </c>
    </row>
    <row r="106" spans="1:88" ht="11.25" customHeight="1">
      <c r="A106" s="45" t="str">
        <f>"24.93"</f>
        <v>24.93</v>
      </c>
      <c r="B106" s="46" t="str">
        <f>"г. Харовск, ул.Восточная, д.3"</f>
        <v>г. Харовск, ул.Восточная, д.3</v>
      </c>
      <c r="C106" s="6" t="str">
        <f>"1978"</f>
        <v>1978</v>
      </c>
      <c r="D106" s="4" t="str">
        <f>"1978"</f>
        <v>1978</v>
      </c>
      <c r="E106" s="4" t="str">
        <f>"50,00"</f>
        <v>50,00</v>
      </c>
      <c r="F106" s="4" t="str">
        <f>"2027-2029"</f>
        <v>2027-2029</v>
      </c>
      <c r="G106" s="4" t="str">
        <f t="shared" si="91"/>
        <v>нет</v>
      </c>
      <c r="H106" s="4" t="str">
        <f>""</f>
        <v/>
      </c>
      <c r="I106" s="4" t="str">
        <f>""</f>
        <v/>
      </c>
      <c r="J106" s="4" t="str">
        <f>""</f>
        <v/>
      </c>
      <c r="K106" s="4" t="str">
        <f t="shared" si="72"/>
        <v>нет</v>
      </c>
      <c r="L106" s="4" t="str">
        <f>""</f>
        <v/>
      </c>
      <c r="M106" s="4" t="str">
        <f>""</f>
        <v/>
      </c>
      <c r="N106" s="4" t="str">
        <f>""</f>
        <v/>
      </c>
      <c r="O106" s="7" t="str">
        <f t="shared" ref="O106:Y106" si="110">"х"</f>
        <v>х</v>
      </c>
      <c r="P106" s="4" t="str">
        <f t="shared" si="110"/>
        <v>х</v>
      </c>
      <c r="Q106" s="4" t="str">
        <f t="shared" si="110"/>
        <v>х</v>
      </c>
      <c r="R106" s="4" t="str">
        <f t="shared" si="110"/>
        <v>х</v>
      </c>
      <c r="S106" s="4" t="str">
        <f t="shared" si="110"/>
        <v>х</v>
      </c>
      <c r="T106" s="4" t="str">
        <f t="shared" si="110"/>
        <v>х</v>
      </c>
      <c r="U106" s="4" t="str">
        <f t="shared" si="110"/>
        <v>х</v>
      </c>
      <c r="V106" s="4" t="str">
        <f t="shared" si="110"/>
        <v>х</v>
      </c>
      <c r="W106" s="4" t="str">
        <f t="shared" si="110"/>
        <v>х</v>
      </c>
      <c r="X106" s="4" t="str">
        <f t="shared" si="110"/>
        <v>х</v>
      </c>
      <c r="Y106" s="8" t="str">
        <f t="shared" si="110"/>
        <v>х</v>
      </c>
      <c r="Z106" s="4" t="str">
        <f t="shared" ref="Z106:AD115" si="111">"х"</f>
        <v>х</v>
      </c>
      <c r="AA106" s="4" t="str">
        <f t="shared" si="111"/>
        <v>х</v>
      </c>
      <c r="AB106" s="4" t="str">
        <f t="shared" si="111"/>
        <v>х</v>
      </c>
      <c r="AC106" s="4" t="str">
        <f t="shared" si="111"/>
        <v>х</v>
      </c>
      <c r="AD106" s="4" t="str">
        <f t="shared" si="111"/>
        <v>х</v>
      </c>
      <c r="AE106" s="4" t="str">
        <f t="shared" si="99"/>
        <v>х</v>
      </c>
      <c r="AF106" s="4" t="str">
        <f t="shared" ref="AF106:AJ115" si="112">"х"</f>
        <v>х</v>
      </c>
      <c r="AG106" s="4" t="str">
        <f t="shared" si="112"/>
        <v>х</v>
      </c>
      <c r="AH106" s="4" t="str">
        <f t="shared" si="112"/>
        <v>х</v>
      </c>
      <c r="AI106" s="4" t="str">
        <f t="shared" si="112"/>
        <v>х</v>
      </c>
      <c r="AJ106" s="4" t="str">
        <f t="shared" si="112"/>
        <v>х</v>
      </c>
      <c r="AK106" s="7" t="str">
        <f>"2008"</f>
        <v>2008</v>
      </c>
      <c r="AL106" s="4" t="str">
        <f>"10,00"</f>
        <v>10,00</v>
      </c>
      <c r="AM106" s="4" t="str">
        <f>"2027-2029"</f>
        <v>2027-2029</v>
      </c>
      <c r="AN106" s="4" t="str">
        <f>"нет"</f>
        <v>нет</v>
      </c>
      <c r="AO106" s="4" t="str">
        <f>""</f>
        <v/>
      </c>
      <c r="AP106" s="4" t="str">
        <f>""</f>
        <v/>
      </c>
      <c r="AQ106" s="4" t="str">
        <f>""</f>
        <v/>
      </c>
      <c r="AR106" s="4" t="str">
        <f t="shared" si="95"/>
        <v>нет</v>
      </c>
      <c r="AS106" s="4" t="str">
        <f>""</f>
        <v/>
      </c>
      <c r="AT106" s="4" t="str">
        <f>""</f>
        <v/>
      </c>
      <c r="AU106" s="4" t="str">
        <f>""</f>
        <v/>
      </c>
      <c r="AV106" s="4" t="str">
        <f t="shared" si="109"/>
        <v>х</v>
      </c>
      <c r="AW106" s="4" t="str">
        <f t="shared" si="109"/>
        <v>х</v>
      </c>
      <c r="AX106" s="4" t="str">
        <f t="shared" si="109"/>
        <v>х</v>
      </c>
      <c r="AY106" s="4" t="str">
        <f t="shared" si="109"/>
        <v>х</v>
      </c>
      <c r="AZ106" s="4" t="str">
        <f t="shared" si="105"/>
        <v>х</v>
      </c>
      <c r="BA106" s="4" t="str">
        <f t="shared" si="105"/>
        <v>х</v>
      </c>
      <c r="BB106" s="4" t="str">
        <f t="shared" si="105"/>
        <v>х</v>
      </c>
      <c r="BC106" s="4" t="str">
        <f>"х"</f>
        <v>х</v>
      </c>
      <c r="BD106" s="4" t="str">
        <f t="shared" si="106"/>
        <v>х</v>
      </c>
      <c r="BE106" s="4" t="str">
        <f t="shared" si="106"/>
        <v>х</v>
      </c>
      <c r="BF106" s="4" t="str">
        <f t="shared" si="106"/>
        <v>х</v>
      </c>
      <c r="BG106" s="4" t="str">
        <f t="shared" ref="BG106:BQ106" si="113">"х"</f>
        <v>х</v>
      </c>
      <c r="BH106" s="4" t="str">
        <f t="shared" si="113"/>
        <v>х</v>
      </c>
      <c r="BI106" s="4" t="str">
        <f t="shared" si="113"/>
        <v>х</v>
      </c>
      <c r="BJ106" s="4" t="str">
        <f t="shared" si="113"/>
        <v>х</v>
      </c>
      <c r="BK106" s="4" t="str">
        <f t="shared" si="113"/>
        <v>х</v>
      </c>
      <c r="BL106" s="4" t="str">
        <f t="shared" si="113"/>
        <v>х</v>
      </c>
      <c r="BM106" s="4" t="str">
        <f t="shared" si="113"/>
        <v>х</v>
      </c>
      <c r="BN106" s="4" t="str">
        <f t="shared" si="113"/>
        <v>х</v>
      </c>
      <c r="BO106" s="4" t="str">
        <f t="shared" si="113"/>
        <v>х</v>
      </c>
      <c r="BP106" s="4" t="str">
        <f t="shared" si="113"/>
        <v>х</v>
      </c>
      <c r="BQ106" s="4" t="str">
        <f t="shared" si="113"/>
        <v>х</v>
      </c>
      <c r="BR106" s="4" t="str">
        <f>"1978"</f>
        <v>1978</v>
      </c>
      <c r="BS106" s="4" t="str">
        <f>"60,00"</f>
        <v>60,00</v>
      </c>
      <c r="BT106" s="4" t="str">
        <f>"2027-2029"</f>
        <v>2027-2029</v>
      </c>
      <c r="BU106" s="4" t="str">
        <f t="shared" si="73"/>
        <v>нет</v>
      </c>
      <c r="BV106" s="4" t="str">
        <f t="shared" si="92"/>
        <v>x</v>
      </c>
      <c r="BW106" s="4" t="str">
        <f t="shared" si="92"/>
        <v>x</v>
      </c>
      <c r="BX106" s="4" t="str">
        <f t="shared" si="92"/>
        <v>x</v>
      </c>
      <c r="BY106" s="4" t="str">
        <f t="shared" si="74"/>
        <v>нет</v>
      </c>
      <c r="BZ106" s="4" t="str">
        <f t="shared" si="93"/>
        <v>x</v>
      </c>
      <c r="CA106" s="4" t="str">
        <f t="shared" si="93"/>
        <v>x</v>
      </c>
      <c r="CB106" s="4" t="str">
        <f t="shared" si="93"/>
        <v>x</v>
      </c>
      <c r="CC106" s="4" t="str">
        <f>"1978"</f>
        <v>1978</v>
      </c>
      <c r="CD106" s="4" t="str">
        <f>"55,00"</f>
        <v>55,00</v>
      </c>
      <c r="CE106" s="4" t="str">
        <f>"2027-2029"</f>
        <v>2027-2029</v>
      </c>
      <c r="CF106" s="4" t="str">
        <f>"1978"</f>
        <v>1978</v>
      </c>
      <c r="CG106" s="4" t="str">
        <f>"40,00"</f>
        <v>40,00</v>
      </c>
      <c r="CH106" s="4" t="str">
        <f>"2027-2029"</f>
        <v>2027-2029</v>
      </c>
      <c r="CI106" s="4" t="str">
        <f>"50,00"</f>
        <v>50,00</v>
      </c>
      <c r="CJ106" s="4" t="str">
        <f>"2027-2029"</f>
        <v>2027-2029</v>
      </c>
    </row>
    <row r="107" spans="1:88" ht="11.25" customHeight="1">
      <c r="A107" s="45" t="str">
        <f>"24.94"</f>
        <v>24.94</v>
      </c>
      <c r="B107" s="46" t="str">
        <f>"г. Харовск, ул.Восточная, д.4"</f>
        <v>г. Харовск, ул.Восточная, д.4</v>
      </c>
      <c r="C107" s="6" t="str">
        <f>"1971"</f>
        <v>1971</v>
      </c>
      <c r="D107" s="4" t="str">
        <f>"1971"</f>
        <v>1971</v>
      </c>
      <c r="E107" s="4" t="str">
        <f>"55,00"</f>
        <v>55,00</v>
      </c>
      <c r="F107" s="4" t="str">
        <f>"2024-2026"</f>
        <v>2024-2026</v>
      </c>
      <c r="G107" s="4" t="str">
        <f t="shared" si="91"/>
        <v>нет</v>
      </c>
      <c r="H107" s="4" t="str">
        <f>""</f>
        <v/>
      </c>
      <c r="I107" s="4" t="str">
        <f>""</f>
        <v/>
      </c>
      <c r="J107" s="4" t="str">
        <f>""</f>
        <v/>
      </c>
      <c r="K107" s="4" t="str">
        <f t="shared" si="72"/>
        <v>нет</v>
      </c>
      <c r="L107" s="4" t="str">
        <f>""</f>
        <v/>
      </c>
      <c r="M107" s="4" t="str">
        <f>""</f>
        <v/>
      </c>
      <c r="N107" s="4" t="str">
        <f>""</f>
        <v/>
      </c>
      <c r="O107" s="7" t="str">
        <f>"1971"</f>
        <v>1971</v>
      </c>
      <c r="P107" s="4" t="str">
        <f>"55,00"</f>
        <v>55,00</v>
      </c>
      <c r="Q107" s="4" t="str">
        <f>"2024-2026"</f>
        <v>2024-2026</v>
      </c>
      <c r="R107" s="4" t="str">
        <f>"нет"</f>
        <v>нет</v>
      </c>
      <c r="S107" s="4" t="str">
        <f>""</f>
        <v/>
      </c>
      <c r="T107" s="4" t="str">
        <f>""</f>
        <v/>
      </c>
      <c r="U107" s="4" t="str">
        <f>""</f>
        <v/>
      </c>
      <c r="V107" s="4" t="str">
        <f>"нет"</f>
        <v>нет</v>
      </c>
      <c r="W107" s="4" t="str">
        <f>""</f>
        <v/>
      </c>
      <c r="X107" s="4" t="str">
        <f>""</f>
        <v/>
      </c>
      <c r="Y107" s="8" t="str">
        <f>""</f>
        <v/>
      </c>
      <c r="Z107" s="4" t="str">
        <f t="shared" si="111"/>
        <v>х</v>
      </c>
      <c r="AA107" s="4" t="str">
        <f t="shared" si="111"/>
        <v>х</v>
      </c>
      <c r="AB107" s="4" t="str">
        <f t="shared" si="111"/>
        <v>х</v>
      </c>
      <c r="AC107" s="4" t="str">
        <f t="shared" si="111"/>
        <v>х</v>
      </c>
      <c r="AD107" s="4" t="str">
        <f t="shared" si="111"/>
        <v>х</v>
      </c>
      <c r="AE107" s="4" t="str">
        <f t="shared" si="99"/>
        <v>х</v>
      </c>
      <c r="AF107" s="4" t="str">
        <f t="shared" si="112"/>
        <v>х</v>
      </c>
      <c r="AG107" s="4" t="str">
        <f t="shared" si="112"/>
        <v>х</v>
      </c>
      <c r="AH107" s="4" t="str">
        <f t="shared" si="112"/>
        <v>х</v>
      </c>
      <c r="AI107" s="4" t="str">
        <f t="shared" si="112"/>
        <v>х</v>
      </c>
      <c r="AJ107" s="4" t="str">
        <f t="shared" si="112"/>
        <v>х</v>
      </c>
      <c r="AK107" s="7" t="str">
        <f>"1971"</f>
        <v>1971</v>
      </c>
      <c r="AL107" s="4" t="str">
        <f>"55,00"</f>
        <v>55,00</v>
      </c>
      <c r="AM107" s="4" t="str">
        <f>"2024-2026"</f>
        <v>2024-2026</v>
      </c>
      <c r="AN107" s="4" t="str">
        <f>"нет"</f>
        <v>нет</v>
      </c>
      <c r="AO107" s="4" t="str">
        <f>""</f>
        <v/>
      </c>
      <c r="AP107" s="4" t="str">
        <f>""</f>
        <v/>
      </c>
      <c r="AQ107" s="4" t="str">
        <f>""</f>
        <v/>
      </c>
      <c r="AR107" s="4" t="str">
        <f t="shared" si="95"/>
        <v>нет</v>
      </c>
      <c r="AS107" s="4" t="str">
        <f>""</f>
        <v/>
      </c>
      <c r="AT107" s="4" t="str">
        <f>""</f>
        <v/>
      </c>
      <c r="AU107" s="4" t="str">
        <f>""</f>
        <v/>
      </c>
      <c r="AV107" s="4" t="str">
        <f>""</f>
        <v/>
      </c>
      <c r="AW107" s="4" t="str">
        <f>""</f>
        <v/>
      </c>
      <c r="AX107" s="4" t="str">
        <f>""</f>
        <v/>
      </c>
      <c r="AY107" s="4" t="str">
        <f>""</f>
        <v/>
      </c>
      <c r="AZ107" s="4" t="str">
        <f>""</f>
        <v/>
      </c>
      <c r="BA107" s="4" t="str">
        <f>""</f>
        <v/>
      </c>
      <c r="BB107" s="4" t="str">
        <f>""</f>
        <v/>
      </c>
      <c r="BC107" s="4" t="str">
        <f>""</f>
        <v/>
      </c>
      <c r="BD107" s="4" t="str">
        <f>""</f>
        <v/>
      </c>
      <c r="BE107" s="4" t="str">
        <f>""</f>
        <v/>
      </c>
      <c r="BF107" s="4" t="str">
        <f>""</f>
        <v/>
      </c>
      <c r="BG107" s="4" t="str">
        <f>"1971"</f>
        <v>1971</v>
      </c>
      <c r="BH107" s="4" t="str">
        <f>"55,00"</f>
        <v>55,00</v>
      </c>
      <c r="BI107" s="4" t="str">
        <f>"2024-2026"</f>
        <v>2024-2026</v>
      </c>
      <c r="BJ107" s="4" t="str">
        <f>"нет"</f>
        <v>нет</v>
      </c>
      <c r="BK107" s="4" t="str">
        <f>""</f>
        <v/>
      </c>
      <c r="BL107" s="4" t="str">
        <f>""</f>
        <v/>
      </c>
      <c r="BM107" s="4" t="str">
        <f>""</f>
        <v/>
      </c>
      <c r="BN107" s="4" t="str">
        <f>"нет"</f>
        <v>нет</v>
      </c>
      <c r="BO107" s="4" t="str">
        <f>""</f>
        <v/>
      </c>
      <c r="BP107" s="4" t="str">
        <f>""</f>
        <v/>
      </c>
      <c r="BQ107" s="4" t="str">
        <f>""</f>
        <v/>
      </c>
      <c r="BR107" s="4" t="str">
        <f>"1971"</f>
        <v>1971</v>
      </c>
      <c r="BS107" s="4" t="str">
        <f>"55,00"</f>
        <v>55,00</v>
      </c>
      <c r="BT107" s="4" t="str">
        <f>"2024-2026"</f>
        <v>2024-2026</v>
      </c>
      <c r="BU107" s="4" t="str">
        <f t="shared" si="73"/>
        <v>нет</v>
      </c>
      <c r="BV107" s="4" t="str">
        <f t="shared" si="92"/>
        <v>x</v>
      </c>
      <c r="BW107" s="4" t="str">
        <f t="shared" si="92"/>
        <v>x</v>
      </c>
      <c r="BX107" s="4" t="str">
        <f t="shared" si="92"/>
        <v>x</v>
      </c>
      <c r="BY107" s="4" t="str">
        <f t="shared" si="74"/>
        <v>нет</v>
      </c>
      <c r="BZ107" s="4" t="str">
        <f t="shared" si="93"/>
        <v>x</v>
      </c>
      <c r="CA107" s="4" t="str">
        <f t="shared" si="93"/>
        <v>x</v>
      </c>
      <c r="CB107" s="4" t="str">
        <f t="shared" si="93"/>
        <v>x</v>
      </c>
      <c r="CC107" s="4" t="str">
        <f>"1971"</f>
        <v>1971</v>
      </c>
      <c r="CD107" s="4" t="str">
        <f>"50,00"</f>
        <v>50,00</v>
      </c>
      <c r="CE107" s="4" t="str">
        <f>"2024-2026"</f>
        <v>2024-2026</v>
      </c>
      <c r="CF107" s="4" t="str">
        <f>"1971"</f>
        <v>1971</v>
      </c>
      <c r="CG107" s="4" t="str">
        <f>"55,00"</f>
        <v>55,00</v>
      </c>
      <c r="CH107" s="4" t="str">
        <f>"2024-2026"</f>
        <v>2024-2026</v>
      </c>
      <c r="CI107" s="4" t="str">
        <f>"52,00"</f>
        <v>52,00</v>
      </c>
      <c r="CJ107" s="4" t="str">
        <f>"2024-2026"</f>
        <v>2024-2026</v>
      </c>
    </row>
    <row r="108" spans="1:88" ht="11.25" customHeight="1">
      <c r="A108" s="45" t="str">
        <f>"24.95"</f>
        <v>24.95</v>
      </c>
      <c r="B108" s="46" t="str">
        <f>"г. Харовск, ул.Восточная, д.5"</f>
        <v>г. Харовск, ул.Восточная, д.5</v>
      </c>
      <c r="C108" s="6" t="str">
        <f>"1983"</f>
        <v>1983</v>
      </c>
      <c r="D108" s="4" t="str">
        <f>"1983"</f>
        <v>1983</v>
      </c>
      <c r="E108" s="4" t="str">
        <f>"50,00"</f>
        <v>50,00</v>
      </c>
      <c r="F108" s="4" t="str">
        <f>"2029-2031"</f>
        <v>2029-2031</v>
      </c>
      <c r="G108" s="4" t="str">
        <f t="shared" si="91"/>
        <v>нет</v>
      </c>
      <c r="H108" s="4" t="str">
        <f>""</f>
        <v/>
      </c>
      <c r="I108" s="4" t="str">
        <f>""</f>
        <v/>
      </c>
      <c r="J108" s="4" t="str">
        <f>""</f>
        <v/>
      </c>
      <c r="K108" s="4" t="str">
        <f t="shared" si="72"/>
        <v>нет</v>
      </c>
      <c r="L108" s="4" t="str">
        <f>""</f>
        <v/>
      </c>
      <c r="M108" s="4" t="str">
        <f>""</f>
        <v/>
      </c>
      <c r="N108" s="4" t="str">
        <f>""</f>
        <v/>
      </c>
      <c r="O108" s="7" t="str">
        <f t="shared" ref="O108:Y108" si="114">"х"</f>
        <v>х</v>
      </c>
      <c r="P108" s="4" t="str">
        <f t="shared" si="114"/>
        <v>х</v>
      </c>
      <c r="Q108" s="4" t="str">
        <f t="shared" si="114"/>
        <v>х</v>
      </c>
      <c r="R108" s="4" t="str">
        <f t="shared" si="114"/>
        <v>х</v>
      </c>
      <c r="S108" s="4" t="str">
        <f t="shared" si="114"/>
        <v>х</v>
      </c>
      <c r="T108" s="4" t="str">
        <f t="shared" si="114"/>
        <v>х</v>
      </c>
      <c r="U108" s="4" t="str">
        <f t="shared" si="114"/>
        <v>х</v>
      </c>
      <c r="V108" s="4" t="str">
        <f t="shared" si="114"/>
        <v>х</v>
      </c>
      <c r="W108" s="4" t="str">
        <f t="shared" si="114"/>
        <v>х</v>
      </c>
      <c r="X108" s="4" t="str">
        <f t="shared" si="114"/>
        <v>х</v>
      </c>
      <c r="Y108" s="8" t="str">
        <f t="shared" si="114"/>
        <v>х</v>
      </c>
      <c r="Z108" s="4" t="str">
        <f t="shared" si="111"/>
        <v>х</v>
      </c>
      <c r="AA108" s="4" t="str">
        <f t="shared" si="111"/>
        <v>х</v>
      </c>
      <c r="AB108" s="4" t="str">
        <f t="shared" si="111"/>
        <v>х</v>
      </c>
      <c r="AC108" s="4" t="str">
        <f t="shared" si="111"/>
        <v>х</v>
      </c>
      <c r="AD108" s="4" t="str">
        <f t="shared" si="111"/>
        <v>х</v>
      </c>
      <c r="AE108" s="4" t="str">
        <f t="shared" si="99"/>
        <v>х</v>
      </c>
      <c r="AF108" s="4" t="str">
        <f t="shared" si="112"/>
        <v>х</v>
      </c>
      <c r="AG108" s="4" t="str">
        <f t="shared" si="112"/>
        <v>х</v>
      </c>
      <c r="AH108" s="4" t="str">
        <f t="shared" si="112"/>
        <v>х</v>
      </c>
      <c r="AI108" s="4" t="str">
        <f t="shared" si="112"/>
        <v>х</v>
      </c>
      <c r="AJ108" s="4" t="str">
        <f t="shared" si="112"/>
        <v>х</v>
      </c>
      <c r="AK108" s="7" t="str">
        <f t="shared" ref="AK108:BQ108" si="115">"х"</f>
        <v>х</v>
      </c>
      <c r="AL108" s="4" t="str">
        <f t="shared" si="115"/>
        <v>х</v>
      </c>
      <c r="AM108" s="4" t="str">
        <f t="shared" si="115"/>
        <v>х</v>
      </c>
      <c r="AN108" s="4" t="str">
        <f t="shared" si="115"/>
        <v>х</v>
      </c>
      <c r="AO108" s="4" t="str">
        <f t="shared" si="115"/>
        <v>х</v>
      </c>
      <c r="AP108" s="4" t="str">
        <f t="shared" si="115"/>
        <v>х</v>
      </c>
      <c r="AQ108" s="4" t="str">
        <f t="shared" si="115"/>
        <v>х</v>
      </c>
      <c r="AR108" s="4" t="str">
        <f t="shared" si="115"/>
        <v>х</v>
      </c>
      <c r="AS108" s="4" t="str">
        <f t="shared" si="115"/>
        <v>х</v>
      </c>
      <c r="AT108" s="4" t="str">
        <f t="shared" si="115"/>
        <v>х</v>
      </c>
      <c r="AU108" s="4" t="str">
        <f t="shared" si="115"/>
        <v>х</v>
      </c>
      <c r="AV108" s="4" t="str">
        <f t="shared" si="115"/>
        <v>х</v>
      </c>
      <c r="AW108" s="4" t="str">
        <f t="shared" si="115"/>
        <v>х</v>
      </c>
      <c r="AX108" s="4" t="str">
        <f t="shared" si="115"/>
        <v>х</v>
      </c>
      <c r="AY108" s="4" t="str">
        <f t="shared" si="115"/>
        <v>х</v>
      </c>
      <c r="AZ108" s="4" t="str">
        <f t="shared" si="115"/>
        <v>х</v>
      </c>
      <c r="BA108" s="4" t="str">
        <f t="shared" si="115"/>
        <v>х</v>
      </c>
      <c r="BB108" s="4" t="str">
        <f t="shared" si="115"/>
        <v>х</v>
      </c>
      <c r="BC108" s="4" t="str">
        <f t="shared" si="115"/>
        <v>х</v>
      </c>
      <c r="BD108" s="4" t="str">
        <f t="shared" si="115"/>
        <v>х</v>
      </c>
      <c r="BE108" s="4" t="str">
        <f t="shared" si="115"/>
        <v>х</v>
      </c>
      <c r="BF108" s="4" t="str">
        <f t="shared" si="115"/>
        <v>х</v>
      </c>
      <c r="BG108" s="4" t="str">
        <f t="shared" si="115"/>
        <v>х</v>
      </c>
      <c r="BH108" s="4" t="str">
        <f t="shared" si="115"/>
        <v>х</v>
      </c>
      <c r="BI108" s="4" t="str">
        <f t="shared" si="115"/>
        <v>х</v>
      </c>
      <c r="BJ108" s="4" t="str">
        <f t="shared" si="115"/>
        <v>х</v>
      </c>
      <c r="BK108" s="4" t="str">
        <f t="shared" si="115"/>
        <v>х</v>
      </c>
      <c r="BL108" s="4" t="str">
        <f t="shared" si="115"/>
        <v>х</v>
      </c>
      <c r="BM108" s="4" t="str">
        <f t="shared" si="115"/>
        <v>х</v>
      </c>
      <c r="BN108" s="4" t="str">
        <f t="shared" si="115"/>
        <v>х</v>
      </c>
      <c r="BO108" s="4" t="str">
        <f t="shared" si="115"/>
        <v>х</v>
      </c>
      <c r="BP108" s="4" t="str">
        <f t="shared" si="115"/>
        <v>х</v>
      </c>
      <c r="BQ108" s="4" t="str">
        <f t="shared" si="115"/>
        <v>х</v>
      </c>
      <c r="BR108" s="4" t="str">
        <f>"1983"</f>
        <v>1983</v>
      </c>
      <c r="BS108" s="4" t="str">
        <f>"35,00"</f>
        <v>35,00</v>
      </c>
      <c r="BT108" s="4" t="str">
        <f>"2029-2031"</f>
        <v>2029-2031</v>
      </c>
      <c r="BU108" s="4" t="str">
        <f t="shared" si="73"/>
        <v>нет</v>
      </c>
      <c r="BV108" s="4" t="str">
        <f t="shared" si="92"/>
        <v>x</v>
      </c>
      <c r="BW108" s="4" t="str">
        <f t="shared" si="92"/>
        <v>x</v>
      </c>
      <c r="BX108" s="4" t="str">
        <f t="shared" si="92"/>
        <v>x</v>
      </c>
      <c r="BY108" s="4" t="str">
        <f t="shared" si="74"/>
        <v>нет</v>
      </c>
      <c r="BZ108" s="4" t="str">
        <f t="shared" si="93"/>
        <v>x</v>
      </c>
      <c r="CA108" s="4" t="str">
        <f t="shared" si="93"/>
        <v>x</v>
      </c>
      <c r="CB108" s="4" t="str">
        <f t="shared" si="93"/>
        <v>x</v>
      </c>
      <c r="CC108" s="4" t="str">
        <f>"1983"</f>
        <v>1983</v>
      </c>
      <c r="CD108" s="4" t="str">
        <f>"40,00"</f>
        <v>40,00</v>
      </c>
      <c r="CE108" s="4" t="str">
        <f>"2029-2031"</f>
        <v>2029-2031</v>
      </c>
      <c r="CF108" s="4" t="str">
        <f>"1983"</f>
        <v>1983</v>
      </c>
      <c r="CG108" s="4" t="str">
        <f>"30,00"</f>
        <v>30,00</v>
      </c>
      <c r="CH108" s="4" t="str">
        <f>"2029-2031"</f>
        <v>2029-2031</v>
      </c>
      <c r="CI108" s="4" t="str">
        <f>"45,00"</f>
        <v>45,00</v>
      </c>
      <c r="CJ108" s="4" t="str">
        <f>"2029-2031"</f>
        <v>2029-2031</v>
      </c>
    </row>
    <row r="109" spans="1:88" ht="11.25" customHeight="1">
      <c r="A109" s="45" t="str">
        <f>"24.96"</f>
        <v>24.96</v>
      </c>
      <c r="B109" s="46" t="str">
        <f>"г. Харовск, ул.Восточная, д.6"</f>
        <v>г. Харовск, ул.Восточная, д.6</v>
      </c>
      <c r="C109" s="6" t="str">
        <f>"1966"</f>
        <v>1966</v>
      </c>
      <c r="D109" s="4" t="str">
        <f>"1966"</f>
        <v>1966</v>
      </c>
      <c r="E109" s="4" t="str">
        <f>"55,00"</f>
        <v>55,00</v>
      </c>
      <c r="F109" s="4" t="str">
        <f>"2022-2024"</f>
        <v>2022-2024</v>
      </c>
      <c r="G109" s="4" t="str">
        <f t="shared" si="91"/>
        <v>нет</v>
      </c>
      <c r="H109" s="4" t="str">
        <f>""</f>
        <v/>
      </c>
      <c r="I109" s="4" t="str">
        <f>""</f>
        <v/>
      </c>
      <c r="J109" s="4" t="str">
        <f>""</f>
        <v/>
      </c>
      <c r="K109" s="4" t="str">
        <f t="shared" si="72"/>
        <v>нет</v>
      </c>
      <c r="L109" s="4" t="str">
        <f>""</f>
        <v/>
      </c>
      <c r="M109" s="4" t="str">
        <f>""</f>
        <v/>
      </c>
      <c r="N109" s="4" t="str">
        <f>""</f>
        <v/>
      </c>
      <c r="O109" s="7" t="str">
        <f>"1966"</f>
        <v>1966</v>
      </c>
      <c r="P109" s="4" t="str">
        <f>"55,00"</f>
        <v>55,00</v>
      </c>
      <c r="Q109" s="4" t="str">
        <f>"2022-2024"</f>
        <v>2022-2024</v>
      </c>
      <c r="R109" s="4" t="str">
        <f>"нет"</f>
        <v>нет</v>
      </c>
      <c r="S109" s="4" t="str">
        <f>""</f>
        <v/>
      </c>
      <c r="T109" s="4" t="str">
        <f>""</f>
        <v/>
      </c>
      <c r="U109" s="4" t="str">
        <f>""</f>
        <v/>
      </c>
      <c r="V109" s="4" t="str">
        <f>"нет"</f>
        <v>нет</v>
      </c>
      <c r="W109" s="4" t="str">
        <f>""</f>
        <v/>
      </c>
      <c r="X109" s="4" t="str">
        <f>""</f>
        <v/>
      </c>
      <c r="Y109" s="8" t="str">
        <f>""</f>
        <v/>
      </c>
      <c r="Z109" s="4" t="str">
        <f t="shared" si="111"/>
        <v>х</v>
      </c>
      <c r="AA109" s="4" t="str">
        <f t="shared" si="111"/>
        <v>х</v>
      </c>
      <c r="AB109" s="4" t="str">
        <f t="shared" si="111"/>
        <v>х</v>
      </c>
      <c r="AC109" s="4" t="str">
        <f t="shared" si="111"/>
        <v>х</v>
      </c>
      <c r="AD109" s="4" t="str">
        <f t="shared" si="111"/>
        <v>х</v>
      </c>
      <c r="AE109" s="4" t="str">
        <f t="shared" si="99"/>
        <v>х</v>
      </c>
      <c r="AF109" s="4" t="str">
        <f t="shared" si="112"/>
        <v>х</v>
      </c>
      <c r="AG109" s="4" t="str">
        <f t="shared" si="112"/>
        <v>х</v>
      </c>
      <c r="AH109" s="4" t="str">
        <f t="shared" si="112"/>
        <v>х</v>
      </c>
      <c r="AI109" s="4" t="str">
        <f t="shared" si="112"/>
        <v>х</v>
      </c>
      <c r="AJ109" s="4" t="str">
        <f t="shared" si="112"/>
        <v>х</v>
      </c>
      <c r="AK109" s="7" t="str">
        <f>"1966"</f>
        <v>1966</v>
      </c>
      <c r="AL109" s="4" t="str">
        <f>"55,00"</f>
        <v>55,00</v>
      </c>
      <c r="AM109" s="4" t="str">
        <f>"2022-2024"</f>
        <v>2022-2024</v>
      </c>
      <c r="AN109" s="4" t="str">
        <f>"нет"</f>
        <v>нет</v>
      </c>
      <c r="AO109" s="4" t="str">
        <f>""</f>
        <v/>
      </c>
      <c r="AP109" s="4" t="str">
        <f>""</f>
        <v/>
      </c>
      <c r="AQ109" s="4" t="str">
        <f>""</f>
        <v/>
      </c>
      <c r="AR109" s="4" t="str">
        <f>"нет"</f>
        <v>нет</v>
      </c>
      <c r="AS109" s="4" t="str">
        <f>""</f>
        <v/>
      </c>
      <c r="AT109" s="4" t="str">
        <f>""</f>
        <v/>
      </c>
      <c r="AU109" s="4" t="str">
        <f>""</f>
        <v/>
      </c>
      <c r="AV109" s="4" t="str">
        <f>""</f>
        <v/>
      </c>
      <c r="AW109" s="4" t="str">
        <f>""</f>
        <v/>
      </c>
      <c r="AX109" s="4" t="str">
        <f>""</f>
        <v/>
      </c>
      <c r="AY109" s="4" t="str">
        <f>""</f>
        <v/>
      </c>
      <c r="AZ109" s="4" t="str">
        <f>""</f>
        <v/>
      </c>
      <c r="BA109" s="4" t="str">
        <f>""</f>
        <v/>
      </c>
      <c r="BB109" s="4" t="str">
        <f>""</f>
        <v/>
      </c>
      <c r="BC109" s="4" t="str">
        <f>""</f>
        <v/>
      </c>
      <c r="BD109" s="4" t="str">
        <f>""</f>
        <v/>
      </c>
      <c r="BE109" s="4" t="str">
        <f>""</f>
        <v/>
      </c>
      <c r="BF109" s="4" t="str">
        <f>""</f>
        <v/>
      </c>
      <c r="BG109" s="4" t="str">
        <f>"1966"</f>
        <v>1966</v>
      </c>
      <c r="BH109" s="4" t="str">
        <f>"55,00"</f>
        <v>55,00</v>
      </c>
      <c r="BI109" s="4" t="str">
        <f>"2022-2024"</f>
        <v>2022-2024</v>
      </c>
      <c r="BJ109" s="4" t="str">
        <f>"нет"</f>
        <v>нет</v>
      </c>
      <c r="BK109" s="4" t="str">
        <f>""</f>
        <v/>
      </c>
      <c r="BL109" s="4" t="str">
        <f>""</f>
        <v/>
      </c>
      <c r="BM109" s="4" t="str">
        <f>""</f>
        <v/>
      </c>
      <c r="BN109" s="4" t="str">
        <f>"нет"</f>
        <v>нет</v>
      </c>
      <c r="BO109" s="4" t="str">
        <f>""</f>
        <v/>
      </c>
      <c r="BP109" s="4" t="str">
        <f>""</f>
        <v/>
      </c>
      <c r="BQ109" s="4" t="str">
        <f>""</f>
        <v/>
      </c>
      <c r="BR109" s="4" t="str">
        <f>"1966"</f>
        <v>1966</v>
      </c>
      <c r="BS109" s="4" t="str">
        <f>"45,00"</f>
        <v>45,00</v>
      </c>
      <c r="BT109" s="4" t="str">
        <f>"2022-2024"</f>
        <v>2022-2024</v>
      </c>
      <c r="BU109" s="4" t="str">
        <f t="shared" si="73"/>
        <v>нет</v>
      </c>
      <c r="BV109" s="4" t="str">
        <f t="shared" si="92"/>
        <v>x</v>
      </c>
      <c r="BW109" s="4" t="str">
        <f t="shared" si="92"/>
        <v>x</v>
      </c>
      <c r="BX109" s="4" t="str">
        <f t="shared" si="92"/>
        <v>x</v>
      </c>
      <c r="BY109" s="4" t="str">
        <f t="shared" si="74"/>
        <v>нет</v>
      </c>
      <c r="BZ109" s="4" t="str">
        <f t="shared" si="93"/>
        <v>x</v>
      </c>
      <c r="CA109" s="4" t="str">
        <f t="shared" si="93"/>
        <v>x</v>
      </c>
      <c r="CB109" s="4" t="str">
        <f t="shared" si="93"/>
        <v>x</v>
      </c>
      <c r="CC109" s="4" t="str">
        <f>"1966"</f>
        <v>1966</v>
      </c>
      <c r="CD109" s="4" t="str">
        <f>"50,00"</f>
        <v>50,00</v>
      </c>
      <c r="CE109" s="4" t="str">
        <f>"2022-2024"</f>
        <v>2022-2024</v>
      </c>
      <c r="CF109" s="4" t="str">
        <f>"1966"</f>
        <v>1966</v>
      </c>
      <c r="CG109" s="4" t="str">
        <f>"45,00"</f>
        <v>45,00</v>
      </c>
      <c r="CH109" s="4" t="str">
        <f>"2022-2024"</f>
        <v>2022-2024</v>
      </c>
      <c r="CI109" s="4" t="str">
        <f>"48,00"</f>
        <v>48,00</v>
      </c>
      <c r="CJ109" s="4" t="str">
        <f>"2022-2024"</f>
        <v>2022-2024</v>
      </c>
    </row>
    <row r="110" spans="1:88" ht="11.25" customHeight="1">
      <c r="A110" s="45" t="str">
        <f>"24.97"</f>
        <v>24.97</v>
      </c>
      <c r="B110" s="46" t="str">
        <f>"г. Харовск, ул.Герцена, д.62"</f>
        <v>г. Харовск, ул.Герцена, д.62</v>
      </c>
      <c r="C110" s="6" t="str">
        <f>"1971"</f>
        <v>1971</v>
      </c>
      <c r="D110" s="4" t="str">
        <f>"1971"</f>
        <v>1971</v>
      </c>
      <c r="E110" s="4" t="str">
        <f>"50,00"</f>
        <v>50,00</v>
      </c>
      <c r="F110" s="4" t="str">
        <f>"2024-2026"</f>
        <v>2024-2026</v>
      </c>
      <c r="G110" s="4" t="str">
        <f t="shared" si="91"/>
        <v>нет</v>
      </c>
      <c r="H110" s="4" t="str">
        <f>""</f>
        <v/>
      </c>
      <c r="I110" s="4" t="str">
        <f>""</f>
        <v/>
      </c>
      <c r="J110" s="4" t="str">
        <f>""</f>
        <v/>
      </c>
      <c r="K110" s="4" t="str">
        <f t="shared" si="72"/>
        <v>нет</v>
      </c>
      <c r="L110" s="4" t="str">
        <f>""</f>
        <v/>
      </c>
      <c r="M110" s="4" t="str">
        <f>""</f>
        <v/>
      </c>
      <c r="N110" s="4" t="str">
        <f>""</f>
        <v/>
      </c>
      <c r="O110" s="7" t="str">
        <f t="shared" ref="O110:Y119" si="116">"х"</f>
        <v>х</v>
      </c>
      <c r="P110" s="4" t="str">
        <f t="shared" si="116"/>
        <v>х</v>
      </c>
      <c r="Q110" s="4" t="str">
        <f t="shared" si="116"/>
        <v>х</v>
      </c>
      <c r="R110" s="4" t="str">
        <f t="shared" si="116"/>
        <v>х</v>
      </c>
      <c r="S110" s="4" t="str">
        <f t="shared" si="116"/>
        <v>х</v>
      </c>
      <c r="T110" s="4" t="str">
        <f t="shared" si="116"/>
        <v>х</v>
      </c>
      <c r="U110" s="4" t="str">
        <f t="shared" si="116"/>
        <v>х</v>
      </c>
      <c r="V110" s="4" t="str">
        <f t="shared" si="116"/>
        <v>х</v>
      </c>
      <c r="W110" s="4" t="str">
        <f t="shared" si="116"/>
        <v>х</v>
      </c>
      <c r="X110" s="4" t="str">
        <f t="shared" si="116"/>
        <v>х</v>
      </c>
      <c r="Y110" s="8" t="str">
        <f t="shared" si="116"/>
        <v>х</v>
      </c>
      <c r="Z110" s="4" t="str">
        <f t="shared" si="111"/>
        <v>х</v>
      </c>
      <c r="AA110" s="4" t="str">
        <f t="shared" si="111"/>
        <v>х</v>
      </c>
      <c r="AB110" s="4" t="str">
        <f t="shared" si="111"/>
        <v>х</v>
      </c>
      <c r="AC110" s="4" t="str">
        <f t="shared" si="111"/>
        <v>х</v>
      </c>
      <c r="AD110" s="4" t="str">
        <f t="shared" si="111"/>
        <v>х</v>
      </c>
      <c r="AE110" s="4" t="str">
        <f t="shared" si="99"/>
        <v>х</v>
      </c>
      <c r="AF110" s="4" t="str">
        <f t="shared" si="112"/>
        <v>х</v>
      </c>
      <c r="AG110" s="4" t="str">
        <f t="shared" si="112"/>
        <v>х</v>
      </c>
      <c r="AH110" s="4" t="str">
        <f t="shared" si="112"/>
        <v>х</v>
      </c>
      <c r="AI110" s="4" t="str">
        <f t="shared" si="112"/>
        <v>х</v>
      </c>
      <c r="AJ110" s="4" t="str">
        <f t="shared" si="112"/>
        <v>х</v>
      </c>
      <c r="AK110" s="7" t="str">
        <f t="shared" ref="AK110:AT117" si="117">"х"</f>
        <v>х</v>
      </c>
      <c r="AL110" s="4" t="str">
        <f t="shared" si="117"/>
        <v>х</v>
      </c>
      <c r="AM110" s="4" t="str">
        <f t="shared" si="117"/>
        <v>х</v>
      </c>
      <c r="AN110" s="4" t="str">
        <f t="shared" si="117"/>
        <v>х</v>
      </c>
      <c r="AO110" s="4" t="str">
        <f t="shared" si="117"/>
        <v>х</v>
      </c>
      <c r="AP110" s="4" t="str">
        <f t="shared" si="117"/>
        <v>х</v>
      </c>
      <c r="AQ110" s="4" t="str">
        <f t="shared" si="117"/>
        <v>х</v>
      </c>
      <c r="AR110" s="4" t="str">
        <f t="shared" si="117"/>
        <v>х</v>
      </c>
      <c r="AS110" s="4" t="str">
        <f t="shared" si="117"/>
        <v>х</v>
      </c>
      <c r="AT110" s="4" t="str">
        <f t="shared" si="117"/>
        <v>х</v>
      </c>
      <c r="AU110" s="4" t="str">
        <f t="shared" ref="AU110:BD117" si="118">"х"</f>
        <v>х</v>
      </c>
      <c r="AV110" s="4" t="str">
        <f t="shared" si="118"/>
        <v>х</v>
      </c>
      <c r="AW110" s="4" t="str">
        <f t="shared" si="118"/>
        <v>х</v>
      </c>
      <c r="AX110" s="4" t="str">
        <f t="shared" si="118"/>
        <v>х</v>
      </c>
      <c r="AY110" s="4" t="str">
        <f t="shared" si="118"/>
        <v>х</v>
      </c>
      <c r="AZ110" s="4" t="str">
        <f t="shared" si="118"/>
        <v>х</v>
      </c>
      <c r="BA110" s="4" t="str">
        <f t="shared" si="118"/>
        <v>х</v>
      </c>
      <c r="BB110" s="4" t="str">
        <f t="shared" si="118"/>
        <v>х</v>
      </c>
      <c r="BC110" s="4" t="str">
        <f t="shared" si="118"/>
        <v>х</v>
      </c>
      <c r="BD110" s="4" t="str">
        <f t="shared" si="118"/>
        <v>х</v>
      </c>
      <c r="BE110" s="4" t="str">
        <f t="shared" ref="BE110:BQ117" si="119">"х"</f>
        <v>х</v>
      </c>
      <c r="BF110" s="4" t="str">
        <f t="shared" si="119"/>
        <v>х</v>
      </c>
      <c r="BG110" s="4" t="str">
        <f t="shared" si="119"/>
        <v>х</v>
      </c>
      <c r="BH110" s="4" t="str">
        <f t="shared" si="119"/>
        <v>х</v>
      </c>
      <c r="BI110" s="4" t="str">
        <f t="shared" si="119"/>
        <v>х</v>
      </c>
      <c r="BJ110" s="4" t="str">
        <f t="shared" si="119"/>
        <v>х</v>
      </c>
      <c r="BK110" s="4" t="str">
        <f t="shared" si="119"/>
        <v>х</v>
      </c>
      <c r="BL110" s="4" t="str">
        <f t="shared" si="119"/>
        <v>х</v>
      </c>
      <c r="BM110" s="4" t="str">
        <f t="shared" si="119"/>
        <v>х</v>
      </c>
      <c r="BN110" s="4" t="str">
        <f t="shared" si="119"/>
        <v>х</v>
      </c>
      <c r="BO110" s="4" t="str">
        <f t="shared" si="119"/>
        <v>х</v>
      </c>
      <c r="BP110" s="4" t="str">
        <f t="shared" si="119"/>
        <v>х</v>
      </c>
      <c r="BQ110" s="4" t="str">
        <f t="shared" si="119"/>
        <v>х</v>
      </c>
      <c r="BR110" s="4" t="str">
        <f>"1971"</f>
        <v>1971</v>
      </c>
      <c r="BS110" s="4" t="str">
        <f>"50,00"</f>
        <v>50,00</v>
      </c>
      <c r="BT110" s="4" t="str">
        <f>"2024-2026"</f>
        <v>2024-2026</v>
      </c>
      <c r="BU110" s="4" t="str">
        <f t="shared" si="73"/>
        <v>нет</v>
      </c>
      <c r="BV110" s="4" t="str">
        <f t="shared" si="92"/>
        <v>x</v>
      </c>
      <c r="BW110" s="4" t="str">
        <f t="shared" si="92"/>
        <v>x</v>
      </c>
      <c r="BX110" s="4" t="str">
        <f t="shared" si="92"/>
        <v>x</v>
      </c>
      <c r="BY110" s="4" t="str">
        <f t="shared" ref="BY110:BY141" si="120">"нет"</f>
        <v>нет</v>
      </c>
      <c r="BZ110" s="4" t="str">
        <f t="shared" si="93"/>
        <v>x</v>
      </c>
      <c r="CA110" s="4" t="str">
        <f t="shared" si="93"/>
        <v>x</v>
      </c>
      <c r="CB110" s="4" t="str">
        <f t="shared" si="93"/>
        <v>x</v>
      </c>
      <c r="CC110" s="4" t="str">
        <f>"1971"</f>
        <v>1971</v>
      </c>
      <c r="CD110" s="4" t="str">
        <f>"60,00"</f>
        <v>60,00</v>
      </c>
      <c r="CE110" s="4" t="str">
        <f>"2024-2026"</f>
        <v>2024-2026</v>
      </c>
      <c r="CF110" s="4" t="str">
        <f>"1971"</f>
        <v>1971</v>
      </c>
      <c r="CG110" s="4" t="str">
        <f>"40,00"</f>
        <v>40,00</v>
      </c>
      <c r="CH110" s="4" t="str">
        <f>"2024-2026"</f>
        <v>2024-2026</v>
      </c>
      <c r="CI110" s="4" t="str">
        <f>"54,00"</f>
        <v>54,00</v>
      </c>
      <c r="CJ110" s="4" t="str">
        <f>"2024-2026"</f>
        <v>2024-2026</v>
      </c>
    </row>
    <row r="111" spans="1:88" ht="11.25" customHeight="1">
      <c r="A111" s="45" t="str">
        <f>"24.98"</f>
        <v>24.98</v>
      </c>
      <c r="B111" s="46" t="str">
        <f>"г. Харовск, ул.Герцена, д.62А"</f>
        <v>г. Харовск, ул.Герцена, д.62А</v>
      </c>
      <c r="C111" s="6" t="str">
        <f>"1972"</f>
        <v>1972</v>
      </c>
      <c r="D111" s="4" t="str">
        <f>"1972"</f>
        <v>1972</v>
      </c>
      <c r="E111" s="4" t="str">
        <f>"50,00"</f>
        <v>50,00</v>
      </c>
      <c r="F111" s="4" t="str">
        <f>"2028-2030"</f>
        <v>2028-2030</v>
      </c>
      <c r="G111" s="4" t="str">
        <f t="shared" si="91"/>
        <v>нет</v>
      </c>
      <c r="H111" s="4" t="str">
        <f>""</f>
        <v/>
      </c>
      <c r="I111" s="4" t="str">
        <f>""</f>
        <v/>
      </c>
      <c r="J111" s="4" t="str">
        <f>""</f>
        <v/>
      </c>
      <c r="K111" s="4" t="str">
        <f t="shared" si="72"/>
        <v>нет</v>
      </c>
      <c r="L111" s="4" t="str">
        <f>""</f>
        <v/>
      </c>
      <c r="M111" s="4" t="str">
        <f>""</f>
        <v/>
      </c>
      <c r="N111" s="4" t="str">
        <f>""</f>
        <v/>
      </c>
      <c r="O111" s="7" t="str">
        <f t="shared" si="116"/>
        <v>х</v>
      </c>
      <c r="P111" s="4" t="str">
        <f t="shared" si="116"/>
        <v>х</v>
      </c>
      <c r="Q111" s="4" t="str">
        <f t="shared" si="116"/>
        <v>х</v>
      </c>
      <c r="R111" s="4" t="str">
        <f t="shared" si="116"/>
        <v>х</v>
      </c>
      <c r="S111" s="4" t="str">
        <f t="shared" si="116"/>
        <v>х</v>
      </c>
      <c r="T111" s="4" t="str">
        <f t="shared" si="116"/>
        <v>х</v>
      </c>
      <c r="U111" s="4" t="str">
        <f t="shared" si="116"/>
        <v>х</v>
      </c>
      <c r="V111" s="4" t="str">
        <f t="shared" si="116"/>
        <v>х</v>
      </c>
      <c r="W111" s="4" t="str">
        <f t="shared" si="116"/>
        <v>х</v>
      </c>
      <c r="X111" s="4" t="str">
        <f t="shared" si="116"/>
        <v>х</v>
      </c>
      <c r="Y111" s="8" t="str">
        <f t="shared" si="116"/>
        <v>х</v>
      </c>
      <c r="Z111" s="4" t="str">
        <f t="shared" si="111"/>
        <v>х</v>
      </c>
      <c r="AA111" s="4" t="str">
        <f t="shared" si="111"/>
        <v>х</v>
      </c>
      <c r="AB111" s="4" t="str">
        <f t="shared" si="111"/>
        <v>х</v>
      </c>
      <c r="AC111" s="4" t="str">
        <f t="shared" si="111"/>
        <v>х</v>
      </c>
      <c r="AD111" s="4" t="str">
        <f t="shared" si="111"/>
        <v>х</v>
      </c>
      <c r="AE111" s="4" t="str">
        <f t="shared" si="99"/>
        <v>х</v>
      </c>
      <c r="AF111" s="4" t="str">
        <f t="shared" si="112"/>
        <v>х</v>
      </c>
      <c r="AG111" s="4" t="str">
        <f t="shared" si="112"/>
        <v>х</v>
      </c>
      <c r="AH111" s="4" t="str">
        <f t="shared" si="112"/>
        <v>х</v>
      </c>
      <c r="AI111" s="4" t="str">
        <f t="shared" si="112"/>
        <v>х</v>
      </c>
      <c r="AJ111" s="4" t="str">
        <f t="shared" si="112"/>
        <v>х</v>
      </c>
      <c r="AK111" s="7" t="str">
        <f t="shared" si="117"/>
        <v>х</v>
      </c>
      <c r="AL111" s="4" t="str">
        <f t="shared" si="117"/>
        <v>х</v>
      </c>
      <c r="AM111" s="4" t="str">
        <f t="shared" si="117"/>
        <v>х</v>
      </c>
      <c r="AN111" s="4" t="str">
        <f t="shared" si="117"/>
        <v>х</v>
      </c>
      <c r="AO111" s="4" t="str">
        <f t="shared" si="117"/>
        <v>х</v>
      </c>
      <c r="AP111" s="4" t="str">
        <f t="shared" si="117"/>
        <v>х</v>
      </c>
      <c r="AQ111" s="4" t="str">
        <f t="shared" si="117"/>
        <v>х</v>
      </c>
      <c r="AR111" s="4" t="str">
        <f t="shared" si="117"/>
        <v>х</v>
      </c>
      <c r="AS111" s="4" t="str">
        <f t="shared" si="117"/>
        <v>х</v>
      </c>
      <c r="AT111" s="4" t="str">
        <f t="shared" si="117"/>
        <v>х</v>
      </c>
      <c r="AU111" s="4" t="str">
        <f t="shared" si="118"/>
        <v>х</v>
      </c>
      <c r="AV111" s="4" t="str">
        <f t="shared" si="118"/>
        <v>х</v>
      </c>
      <c r="AW111" s="4" t="str">
        <f t="shared" si="118"/>
        <v>х</v>
      </c>
      <c r="AX111" s="4" t="str">
        <f t="shared" si="118"/>
        <v>х</v>
      </c>
      <c r="AY111" s="4" t="str">
        <f t="shared" si="118"/>
        <v>х</v>
      </c>
      <c r="AZ111" s="4" t="str">
        <f t="shared" si="118"/>
        <v>х</v>
      </c>
      <c r="BA111" s="4" t="str">
        <f t="shared" si="118"/>
        <v>х</v>
      </c>
      <c r="BB111" s="4" t="str">
        <f t="shared" si="118"/>
        <v>х</v>
      </c>
      <c r="BC111" s="4" t="str">
        <f t="shared" si="118"/>
        <v>х</v>
      </c>
      <c r="BD111" s="4" t="str">
        <f t="shared" si="118"/>
        <v>х</v>
      </c>
      <c r="BE111" s="4" t="str">
        <f t="shared" si="119"/>
        <v>х</v>
      </c>
      <c r="BF111" s="4" t="str">
        <f t="shared" si="119"/>
        <v>х</v>
      </c>
      <c r="BG111" s="4" t="str">
        <f t="shared" si="119"/>
        <v>х</v>
      </c>
      <c r="BH111" s="4" t="str">
        <f t="shared" si="119"/>
        <v>х</v>
      </c>
      <c r="BI111" s="4" t="str">
        <f t="shared" si="119"/>
        <v>х</v>
      </c>
      <c r="BJ111" s="4" t="str">
        <f t="shared" si="119"/>
        <v>х</v>
      </c>
      <c r="BK111" s="4" t="str">
        <f t="shared" si="119"/>
        <v>х</v>
      </c>
      <c r="BL111" s="4" t="str">
        <f t="shared" si="119"/>
        <v>х</v>
      </c>
      <c r="BM111" s="4" t="str">
        <f t="shared" si="119"/>
        <v>х</v>
      </c>
      <c r="BN111" s="4" t="str">
        <f t="shared" si="119"/>
        <v>х</v>
      </c>
      <c r="BO111" s="4" t="str">
        <f t="shared" si="119"/>
        <v>х</v>
      </c>
      <c r="BP111" s="4" t="str">
        <f t="shared" si="119"/>
        <v>х</v>
      </c>
      <c r="BQ111" s="4" t="str">
        <f t="shared" si="119"/>
        <v>х</v>
      </c>
      <c r="BR111" s="4" t="str">
        <f>"1972"</f>
        <v>1972</v>
      </c>
      <c r="BS111" s="4" t="str">
        <f>"40,00"</f>
        <v>40,00</v>
      </c>
      <c r="BT111" s="4" t="str">
        <f>"2028-2030"</f>
        <v>2028-2030</v>
      </c>
      <c r="BU111" s="4" t="str">
        <f t="shared" si="73"/>
        <v>нет</v>
      </c>
      <c r="BV111" s="4" t="str">
        <f t="shared" si="92"/>
        <v>x</v>
      </c>
      <c r="BW111" s="4" t="str">
        <f t="shared" si="92"/>
        <v>x</v>
      </c>
      <c r="BX111" s="4" t="str">
        <f t="shared" si="92"/>
        <v>x</v>
      </c>
      <c r="BY111" s="4" t="str">
        <f t="shared" si="120"/>
        <v>нет</v>
      </c>
      <c r="BZ111" s="4" t="str">
        <f t="shared" si="93"/>
        <v>x</v>
      </c>
      <c r="CA111" s="4" t="str">
        <f t="shared" si="93"/>
        <v>x</v>
      </c>
      <c r="CB111" s="4" t="str">
        <f t="shared" si="93"/>
        <v>x</v>
      </c>
      <c r="CC111" s="4" t="str">
        <f>"1972"</f>
        <v>1972</v>
      </c>
      <c r="CD111" s="4" t="str">
        <f>"40,00"</f>
        <v>40,00</v>
      </c>
      <c r="CE111" s="4" t="str">
        <f>"2028-2030"</f>
        <v>2028-2030</v>
      </c>
      <c r="CF111" s="4" t="str">
        <f>"1972"</f>
        <v>1972</v>
      </c>
      <c r="CG111" s="4" t="str">
        <f>"30,00"</f>
        <v>30,00</v>
      </c>
      <c r="CH111" s="4" t="str">
        <f>"2028-2030"</f>
        <v>2028-2030</v>
      </c>
      <c r="CI111" s="4" t="str">
        <f>"50,00"</f>
        <v>50,00</v>
      </c>
      <c r="CJ111" s="4" t="str">
        <f>"2028-2030"</f>
        <v>2028-2030</v>
      </c>
    </row>
    <row r="112" spans="1:88" ht="11.25" customHeight="1">
      <c r="A112" s="45" t="str">
        <f>"24.99"</f>
        <v>24.99</v>
      </c>
      <c r="B112" s="46" t="str">
        <f>"г. Харовск, ул.Герцена, д.64"</f>
        <v>г. Харовск, ул.Герцена, д.64</v>
      </c>
      <c r="C112" s="6" t="str">
        <f>"1975"</f>
        <v>1975</v>
      </c>
      <c r="D112" s="4" t="str">
        <f>"1975"</f>
        <v>1975</v>
      </c>
      <c r="E112" s="4" t="str">
        <f>"50,00"</f>
        <v>50,00</v>
      </c>
      <c r="F112" s="4" t="str">
        <f>"2026-2028"</f>
        <v>2026-2028</v>
      </c>
      <c r="G112" s="4" t="str">
        <f t="shared" si="91"/>
        <v>нет</v>
      </c>
      <c r="H112" s="4" t="str">
        <f>""</f>
        <v/>
      </c>
      <c r="I112" s="4" t="str">
        <f>""</f>
        <v/>
      </c>
      <c r="J112" s="4" t="str">
        <f>""</f>
        <v/>
      </c>
      <c r="K112" s="4" t="str">
        <f t="shared" si="72"/>
        <v>нет</v>
      </c>
      <c r="L112" s="4" t="str">
        <f>""</f>
        <v/>
      </c>
      <c r="M112" s="4" t="str">
        <f>""</f>
        <v/>
      </c>
      <c r="N112" s="4" t="str">
        <f>""</f>
        <v/>
      </c>
      <c r="O112" s="7" t="str">
        <f t="shared" si="116"/>
        <v>х</v>
      </c>
      <c r="P112" s="4" t="str">
        <f t="shared" si="116"/>
        <v>х</v>
      </c>
      <c r="Q112" s="4" t="str">
        <f t="shared" si="116"/>
        <v>х</v>
      </c>
      <c r="R112" s="4" t="str">
        <f t="shared" si="116"/>
        <v>х</v>
      </c>
      <c r="S112" s="4" t="str">
        <f t="shared" si="116"/>
        <v>х</v>
      </c>
      <c r="T112" s="4" t="str">
        <f t="shared" si="116"/>
        <v>х</v>
      </c>
      <c r="U112" s="4" t="str">
        <f t="shared" si="116"/>
        <v>х</v>
      </c>
      <c r="V112" s="4" t="str">
        <f t="shared" si="116"/>
        <v>х</v>
      </c>
      <c r="W112" s="4" t="str">
        <f t="shared" si="116"/>
        <v>х</v>
      </c>
      <c r="X112" s="4" t="str">
        <f t="shared" si="116"/>
        <v>х</v>
      </c>
      <c r="Y112" s="8" t="str">
        <f t="shared" si="116"/>
        <v>х</v>
      </c>
      <c r="Z112" s="4" t="str">
        <f t="shared" si="111"/>
        <v>х</v>
      </c>
      <c r="AA112" s="4" t="str">
        <f t="shared" si="111"/>
        <v>х</v>
      </c>
      <c r="AB112" s="4" t="str">
        <f t="shared" si="111"/>
        <v>х</v>
      </c>
      <c r="AC112" s="4" t="str">
        <f t="shared" si="111"/>
        <v>х</v>
      </c>
      <c r="AD112" s="4" t="str">
        <f t="shared" si="111"/>
        <v>х</v>
      </c>
      <c r="AE112" s="4" t="str">
        <f t="shared" si="99"/>
        <v>х</v>
      </c>
      <c r="AF112" s="4" t="str">
        <f t="shared" si="112"/>
        <v>х</v>
      </c>
      <c r="AG112" s="4" t="str">
        <f t="shared" si="112"/>
        <v>х</v>
      </c>
      <c r="AH112" s="4" t="str">
        <f t="shared" si="112"/>
        <v>х</v>
      </c>
      <c r="AI112" s="4" t="str">
        <f t="shared" si="112"/>
        <v>х</v>
      </c>
      <c r="AJ112" s="4" t="str">
        <f t="shared" si="112"/>
        <v>х</v>
      </c>
      <c r="AK112" s="7" t="str">
        <f t="shared" si="117"/>
        <v>х</v>
      </c>
      <c r="AL112" s="4" t="str">
        <f t="shared" si="117"/>
        <v>х</v>
      </c>
      <c r="AM112" s="4" t="str">
        <f t="shared" si="117"/>
        <v>х</v>
      </c>
      <c r="AN112" s="4" t="str">
        <f t="shared" si="117"/>
        <v>х</v>
      </c>
      <c r="AO112" s="4" t="str">
        <f t="shared" si="117"/>
        <v>х</v>
      </c>
      <c r="AP112" s="4" t="str">
        <f t="shared" si="117"/>
        <v>х</v>
      </c>
      <c r="AQ112" s="4" t="str">
        <f t="shared" si="117"/>
        <v>х</v>
      </c>
      <c r="AR112" s="4" t="str">
        <f t="shared" si="117"/>
        <v>х</v>
      </c>
      <c r="AS112" s="4" t="str">
        <f t="shared" si="117"/>
        <v>х</v>
      </c>
      <c r="AT112" s="4" t="str">
        <f t="shared" si="117"/>
        <v>х</v>
      </c>
      <c r="AU112" s="4" t="str">
        <f t="shared" si="118"/>
        <v>х</v>
      </c>
      <c r="AV112" s="4" t="str">
        <f t="shared" si="118"/>
        <v>х</v>
      </c>
      <c r="AW112" s="4" t="str">
        <f t="shared" si="118"/>
        <v>х</v>
      </c>
      <c r="AX112" s="4" t="str">
        <f t="shared" si="118"/>
        <v>х</v>
      </c>
      <c r="AY112" s="4" t="str">
        <f t="shared" si="118"/>
        <v>х</v>
      </c>
      <c r="AZ112" s="4" t="str">
        <f t="shared" si="118"/>
        <v>х</v>
      </c>
      <c r="BA112" s="4" t="str">
        <f t="shared" si="118"/>
        <v>х</v>
      </c>
      <c r="BB112" s="4" t="str">
        <f t="shared" si="118"/>
        <v>х</v>
      </c>
      <c r="BC112" s="4" t="str">
        <f t="shared" si="118"/>
        <v>х</v>
      </c>
      <c r="BD112" s="4" t="str">
        <f t="shared" si="118"/>
        <v>х</v>
      </c>
      <c r="BE112" s="4" t="str">
        <f t="shared" si="119"/>
        <v>х</v>
      </c>
      <c r="BF112" s="4" t="str">
        <f t="shared" si="119"/>
        <v>х</v>
      </c>
      <c r="BG112" s="4" t="str">
        <f t="shared" si="119"/>
        <v>х</v>
      </c>
      <c r="BH112" s="4" t="str">
        <f t="shared" si="119"/>
        <v>х</v>
      </c>
      <c r="BI112" s="4" t="str">
        <f t="shared" si="119"/>
        <v>х</v>
      </c>
      <c r="BJ112" s="4" t="str">
        <f t="shared" si="119"/>
        <v>х</v>
      </c>
      <c r="BK112" s="4" t="str">
        <f t="shared" si="119"/>
        <v>х</v>
      </c>
      <c r="BL112" s="4" t="str">
        <f t="shared" si="119"/>
        <v>х</v>
      </c>
      <c r="BM112" s="4" t="str">
        <f t="shared" si="119"/>
        <v>х</v>
      </c>
      <c r="BN112" s="4" t="str">
        <f t="shared" si="119"/>
        <v>х</v>
      </c>
      <c r="BO112" s="4" t="str">
        <f t="shared" si="119"/>
        <v>х</v>
      </c>
      <c r="BP112" s="4" t="str">
        <f t="shared" si="119"/>
        <v>х</v>
      </c>
      <c r="BQ112" s="4" t="str">
        <f t="shared" si="119"/>
        <v>х</v>
      </c>
      <c r="BR112" s="4" t="str">
        <f>"1975"</f>
        <v>1975</v>
      </c>
      <c r="BS112" s="4" t="str">
        <f>"50,00"</f>
        <v>50,00</v>
      </c>
      <c r="BT112" s="4" t="str">
        <f>"2026-2028"</f>
        <v>2026-2028</v>
      </c>
      <c r="BU112" s="4" t="str">
        <f t="shared" si="73"/>
        <v>нет</v>
      </c>
      <c r="BV112" s="4" t="str">
        <f t="shared" si="92"/>
        <v>x</v>
      </c>
      <c r="BW112" s="4" t="str">
        <f t="shared" si="92"/>
        <v>x</v>
      </c>
      <c r="BX112" s="4" t="str">
        <f t="shared" si="92"/>
        <v>x</v>
      </c>
      <c r="BY112" s="4" t="str">
        <f t="shared" si="120"/>
        <v>нет</v>
      </c>
      <c r="BZ112" s="4" t="str">
        <f t="shared" si="93"/>
        <v>x</v>
      </c>
      <c r="CA112" s="4" t="str">
        <f t="shared" si="93"/>
        <v>x</v>
      </c>
      <c r="CB112" s="4" t="str">
        <f t="shared" si="93"/>
        <v>x</v>
      </c>
      <c r="CC112" s="4" t="str">
        <f>"1975"</f>
        <v>1975</v>
      </c>
      <c r="CD112" s="4" t="str">
        <f>"60,00"</f>
        <v>60,00</v>
      </c>
      <c r="CE112" s="4" t="str">
        <f>"2026-2028"</f>
        <v>2026-2028</v>
      </c>
      <c r="CF112" s="4" t="str">
        <f>"1975"</f>
        <v>1975</v>
      </c>
      <c r="CG112" s="4" t="str">
        <f>"30,00"</f>
        <v>30,00</v>
      </c>
      <c r="CH112" s="4" t="str">
        <f>"2026-2028"</f>
        <v>2026-2028</v>
      </c>
      <c r="CI112" s="4" t="str">
        <f>"52,00"</f>
        <v>52,00</v>
      </c>
      <c r="CJ112" s="4" t="str">
        <f>"2026-2028"</f>
        <v>2026-2028</v>
      </c>
    </row>
    <row r="113" spans="1:88" ht="11.25" customHeight="1">
      <c r="A113" s="45" t="str">
        <f>"24.100"</f>
        <v>24.100</v>
      </c>
      <c r="B113" s="46" t="str">
        <f>"г. Харовск, ул.Герцена, д.64А"</f>
        <v>г. Харовск, ул.Герцена, д.64А</v>
      </c>
      <c r="C113" s="6" t="str">
        <f>"1979"</f>
        <v>1979</v>
      </c>
      <c r="D113" s="4" t="str">
        <f>"1979"</f>
        <v>1979</v>
      </c>
      <c r="E113" s="4" t="str">
        <f>"50,00"</f>
        <v>50,00</v>
      </c>
      <c r="F113" s="4" t="str">
        <f>"2028-2030"</f>
        <v>2028-2030</v>
      </c>
      <c r="G113" s="4" t="str">
        <f t="shared" si="91"/>
        <v>нет</v>
      </c>
      <c r="H113" s="4" t="str">
        <f>""</f>
        <v/>
      </c>
      <c r="I113" s="4" t="str">
        <f>""</f>
        <v/>
      </c>
      <c r="J113" s="4" t="str">
        <f>""</f>
        <v/>
      </c>
      <c r="K113" s="4" t="str">
        <f t="shared" si="72"/>
        <v>нет</v>
      </c>
      <c r="L113" s="4" t="str">
        <f>""</f>
        <v/>
      </c>
      <c r="M113" s="4" t="str">
        <f>""</f>
        <v/>
      </c>
      <c r="N113" s="4" t="str">
        <f>""</f>
        <v/>
      </c>
      <c r="O113" s="7" t="str">
        <f t="shared" si="116"/>
        <v>х</v>
      </c>
      <c r="P113" s="4" t="str">
        <f t="shared" si="116"/>
        <v>х</v>
      </c>
      <c r="Q113" s="4" t="str">
        <f t="shared" si="116"/>
        <v>х</v>
      </c>
      <c r="R113" s="4" t="str">
        <f t="shared" si="116"/>
        <v>х</v>
      </c>
      <c r="S113" s="4" t="str">
        <f t="shared" si="116"/>
        <v>х</v>
      </c>
      <c r="T113" s="4" t="str">
        <f t="shared" si="116"/>
        <v>х</v>
      </c>
      <c r="U113" s="4" t="str">
        <f t="shared" si="116"/>
        <v>х</v>
      </c>
      <c r="V113" s="4" t="str">
        <f t="shared" si="116"/>
        <v>х</v>
      </c>
      <c r="W113" s="4" t="str">
        <f t="shared" si="116"/>
        <v>х</v>
      </c>
      <c r="X113" s="4" t="str">
        <f t="shared" si="116"/>
        <v>х</v>
      </c>
      <c r="Y113" s="8" t="str">
        <f t="shared" si="116"/>
        <v>х</v>
      </c>
      <c r="Z113" s="4" t="str">
        <f t="shared" si="111"/>
        <v>х</v>
      </c>
      <c r="AA113" s="4" t="str">
        <f t="shared" si="111"/>
        <v>х</v>
      </c>
      <c r="AB113" s="4" t="str">
        <f t="shared" si="111"/>
        <v>х</v>
      </c>
      <c r="AC113" s="4" t="str">
        <f t="shared" si="111"/>
        <v>х</v>
      </c>
      <c r="AD113" s="4" t="str">
        <f t="shared" si="111"/>
        <v>х</v>
      </c>
      <c r="AE113" s="4" t="str">
        <f t="shared" si="99"/>
        <v>х</v>
      </c>
      <c r="AF113" s="4" t="str">
        <f t="shared" si="112"/>
        <v>х</v>
      </c>
      <c r="AG113" s="4" t="str">
        <f t="shared" si="112"/>
        <v>х</v>
      </c>
      <c r="AH113" s="4" t="str">
        <f t="shared" si="112"/>
        <v>х</v>
      </c>
      <c r="AI113" s="4" t="str">
        <f t="shared" si="112"/>
        <v>х</v>
      </c>
      <c r="AJ113" s="4" t="str">
        <f t="shared" si="112"/>
        <v>х</v>
      </c>
      <c r="AK113" s="7" t="str">
        <f t="shared" si="117"/>
        <v>х</v>
      </c>
      <c r="AL113" s="4" t="str">
        <f t="shared" si="117"/>
        <v>х</v>
      </c>
      <c r="AM113" s="4" t="str">
        <f t="shared" si="117"/>
        <v>х</v>
      </c>
      <c r="AN113" s="4" t="str">
        <f t="shared" si="117"/>
        <v>х</v>
      </c>
      <c r="AO113" s="4" t="str">
        <f t="shared" si="117"/>
        <v>х</v>
      </c>
      <c r="AP113" s="4" t="str">
        <f t="shared" si="117"/>
        <v>х</v>
      </c>
      <c r="AQ113" s="4" t="str">
        <f t="shared" si="117"/>
        <v>х</v>
      </c>
      <c r="AR113" s="4" t="str">
        <f t="shared" si="117"/>
        <v>х</v>
      </c>
      <c r="AS113" s="4" t="str">
        <f t="shared" si="117"/>
        <v>х</v>
      </c>
      <c r="AT113" s="4" t="str">
        <f t="shared" si="117"/>
        <v>х</v>
      </c>
      <c r="AU113" s="4" t="str">
        <f t="shared" si="118"/>
        <v>х</v>
      </c>
      <c r="AV113" s="4" t="str">
        <f t="shared" si="118"/>
        <v>х</v>
      </c>
      <c r="AW113" s="4" t="str">
        <f t="shared" si="118"/>
        <v>х</v>
      </c>
      <c r="AX113" s="4" t="str">
        <f t="shared" si="118"/>
        <v>х</v>
      </c>
      <c r="AY113" s="4" t="str">
        <f t="shared" si="118"/>
        <v>х</v>
      </c>
      <c r="AZ113" s="4" t="str">
        <f t="shared" si="118"/>
        <v>х</v>
      </c>
      <c r="BA113" s="4" t="str">
        <f t="shared" si="118"/>
        <v>х</v>
      </c>
      <c r="BB113" s="4" t="str">
        <f t="shared" si="118"/>
        <v>х</v>
      </c>
      <c r="BC113" s="4" t="str">
        <f t="shared" si="118"/>
        <v>х</v>
      </c>
      <c r="BD113" s="4" t="str">
        <f t="shared" si="118"/>
        <v>х</v>
      </c>
      <c r="BE113" s="4" t="str">
        <f t="shared" si="119"/>
        <v>х</v>
      </c>
      <c r="BF113" s="4" t="str">
        <f t="shared" si="119"/>
        <v>х</v>
      </c>
      <c r="BG113" s="4" t="str">
        <f t="shared" si="119"/>
        <v>х</v>
      </c>
      <c r="BH113" s="4" t="str">
        <f t="shared" si="119"/>
        <v>х</v>
      </c>
      <c r="BI113" s="4" t="str">
        <f t="shared" si="119"/>
        <v>х</v>
      </c>
      <c r="BJ113" s="4" t="str">
        <f t="shared" si="119"/>
        <v>х</v>
      </c>
      <c r="BK113" s="4" t="str">
        <f t="shared" si="119"/>
        <v>х</v>
      </c>
      <c r="BL113" s="4" t="str">
        <f t="shared" si="119"/>
        <v>х</v>
      </c>
      <c r="BM113" s="4" t="str">
        <f t="shared" si="119"/>
        <v>х</v>
      </c>
      <c r="BN113" s="4" t="str">
        <f t="shared" si="119"/>
        <v>х</v>
      </c>
      <c r="BO113" s="4" t="str">
        <f t="shared" si="119"/>
        <v>х</v>
      </c>
      <c r="BP113" s="4" t="str">
        <f t="shared" si="119"/>
        <v>х</v>
      </c>
      <c r="BQ113" s="4" t="str">
        <f t="shared" si="119"/>
        <v>х</v>
      </c>
      <c r="BR113" s="4" t="str">
        <f>"1979"</f>
        <v>1979</v>
      </c>
      <c r="BS113" s="4" t="str">
        <f>"50,00"</f>
        <v>50,00</v>
      </c>
      <c r="BT113" s="4" t="str">
        <f>"2028-2030"</f>
        <v>2028-2030</v>
      </c>
      <c r="BU113" s="4" t="str">
        <f t="shared" si="73"/>
        <v>нет</v>
      </c>
      <c r="BV113" s="4" t="str">
        <f t="shared" si="92"/>
        <v>x</v>
      </c>
      <c r="BW113" s="4" t="str">
        <f t="shared" si="92"/>
        <v>x</v>
      </c>
      <c r="BX113" s="4" t="str">
        <f t="shared" si="92"/>
        <v>x</v>
      </c>
      <c r="BY113" s="4" t="str">
        <f t="shared" si="120"/>
        <v>нет</v>
      </c>
      <c r="BZ113" s="4" t="str">
        <f t="shared" si="93"/>
        <v>x</v>
      </c>
      <c r="CA113" s="4" t="str">
        <f t="shared" si="93"/>
        <v>x</v>
      </c>
      <c r="CB113" s="4" t="str">
        <f t="shared" si="93"/>
        <v>x</v>
      </c>
      <c r="CC113" s="4" t="str">
        <f>"1979"</f>
        <v>1979</v>
      </c>
      <c r="CD113" s="4" t="str">
        <f>"30,00"</f>
        <v>30,00</v>
      </c>
      <c r="CE113" s="4" t="str">
        <f>"2028-2030"</f>
        <v>2028-2030</v>
      </c>
      <c r="CF113" s="4" t="str">
        <f>"1979"</f>
        <v>1979</v>
      </c>
      <c r="CG113" s="4" t="str">
        <f>"30,00"</f>
        <v>30,00</v>
      </c>
      <c r="CH113" s="4" t="str">
        <f>"2028-2030"</f>
        <v>2028-2030</v>
      </c>
      <c r="CI113" s="4" t="str">
        <f>"40,00"</f>
        <v>40,00</v>
      </c>
      <c r="CJ113" s="4" t="str">
        <f>"2028-2030"</f>
        <v>2028-2030</v>
      </c>
    </row>
    <row r="114" spans="1:88" ht="11.25" customHeight="1">
      <c r="A114" s="45" t="str">
        <f>"24.101"</f>
        <v>24.101</v>
      </c>
      <c r="B114" s="46" t="str">
        <f>"г. Харовск, ул.Герцена, д.71"</f>
        <v>г. Харовск, ул.Герцена, д.71</v>
      </c>
      <c r="C114" s="6" t="str">
        <f>"1980"</f>
        <v>1980</v>
      </c>
      <c r="D114" s="4" t="str">
        <f>"1980"</f>
        <v>1980</v>
      </c>
      <c r="E114" s="4" t="str">
        <f>"40,00"</f>
        <v>40,00</v>
      </c>
      <c r="F114" s="4" t="str">
        <f>"2028-2030"</f>
        <v>2028-2030</v>
      </c>
      <c r="G114" s="4" t="str">
        <f t="shared" si="91"/>
        <v>нет</v>
      </c>
      <c r="H114" s="4" t="str">
        <f>""</f>
        <v/>
      </c>
      <c r="I114" s="4" t="str">
        <f>""</f>
        <v/>
      </c>
      <c r="J114" s="4" t="str">
        <f>""</f>
        <v/>
      </c>
      <c r="K114" s="4" t="str">
        <f t="shared" si="72"/>
        <v>нет</v>
      </c>
      <c r="L114" s="4" t="str">
        <f>""</f>
        <v/>
      </c>
      <c r="M114" s="4" t="str">
        <f>""</f>
        <v/>
      </c>
      <c r="N114" s="4" t="str">
        <f>""</f>
        <v/>
      </c>
      <c r="O114" s="7" t="str">
        <f t="shared" si="116"/>
        <v>х</v>
      </c>
      <c r="P114" s="4" t="str">
        <f t="shared" si="116"/>
        <v>х</v>
      </c>
      <c r="Q114" s="4" t="str">
        <f t="shared" si="116"/>
        <v>х</v>
      </c>
      <c r="R114" s="4" t="str">
        <f t="shared" si="116"/>
        <v>х</v>
      </c>
      <c r="S114" s="4" t="str">
        <f t="shared" si="116"/>
        <v>х</v>
      </c>
      <c r="T114" s="4" t="str">
        <f t="shared" si="116"/>
        <v>х</v>
      </c>
      <c r="U114" s="4" t="str">
        <f t="shared" si="116"/>
        <v>х</v>
      </c>
      <c r="V114" s="4" t="str">
        <f t="shared" si="116"/>
        <v>х</v>
      </c>
      <c r="W114" s="4" t="str">
        <f t="shared" si="116"/>
        <v>х</v>
      </c>
      <c r="X114" s="4" t="str">
        <f t="shared" si="116"/>
        <v>х</v>
      </c>
      <c r="Y114" s="8" t="str">
        <f t="shared" si="116"/>
        <v>х</v>
      </c>
      <c r="Z114" s="4" t="str">
        <f t="shared" si="111"/>
        <v>х</v>
      </c>
      <c r="AA114" s="4" t="str">
        <f t="shared" si="111"/>
        <v>х</v>
      </c>
      <c r="AB114" s="4" t="str">
        <f t="shared" si="111"/>
        <v>х</v>
      </c>
      <c r="AC114" s="4" t="str">
        <f t="shared" si="111"/>
        <v>х</v>
      </c>
      <c r="AD114" s="4" t="str">
        <f t="shared" si="111"/>
        <v>х</v>
      </c>
      <c r="AE114" s="4" t="str">
        <f t="shared" si="99"/>
        <v>х</v>
      </c>
      <c r="AF114" s="4" t="str">
        <f t="shared" si="112"/>
        <v>х</v>
      </c>
      <c r="AG114" s="4" t="str">
        <f t="shared" si="112"/>
        <v>х</v>
      </c>
      <c r="AH114" s="4" t="str">
        <f t="shared" si="112"/>
        <v>х</v>
      </c>
      <c r="AI114" s="4" t="str">
        <f t="shared" si="112"/>
        <v>х</v>
      </c>
      <c r="AJ114" s="4" t="str">
        <f t="shared" si="112"/>
        <v>х</v>
      </c>
      <c r="AK114" s="7" t="str">
        <f t="shared" si="117"/>
        <v>х</v>
      </c>
      <c r="AL114" s="4" t="str">
        <f t="shared" si="117"/>
        <v>х</v>
      </c>
      <c r="AM114" s="4" t="str">
        <f t="shared" si="117"/>
        <v>х</v>
      </c>
      <c r="AN114" s="4" t="str">
        <f t="shared" si="117"/>
        <v>х</v>
      </c>
      <c r="AO114" s="4" t="str">
        <f t="shared" si="117"/>
        <v>х</v>
      </c>
      <c r="AP114" s="4" t="str">
        <f t="shared" si="117"/>
        <v>х</v>
      </c>
      <c r="AQ114" s="4" t="str">
        <f t="shared" si="117"/>
        <v>х</v>
      </c>
      <c r="AR114" s="4" t="str">
        <f t="shared" si="117"/>
        <v>х</v>
      </c>
      <c r="AS114" s="4" t="str">
        <f t="shared" si="117"/>
        <v>х</v>
      </c>
      <c r="AT114" s="4" t="str">
        <f t="shared" si="117"/>
        <v>х</v>
      </c>
      <c r="AU114" s="4" t="str">
        <f t="shared" si="118"/>
        <v>х</v>
      </c>
      <c r="AV114" s="4" t="str">
        <f t="shared" si="118"/>
        <v>х</v>
      </c>
      <c r="AW114" s="4" t="str">
        <f t="shared" si="118"/>
        <v>х</v>
      </c>
      <c r="AX114" s="4" t="str">
        <f t="shared" si="118"/>
        <v>х</v>
      </c>
      <c r="AY114" s="4" t="str">
        <f t="shared" si="118"/>
        <v>х</v>
      </c>
      <c r="AZ114" s="4" t="str">
        <f t="shared" si="118"/>
        <v>х</v>
      </c>
      <c r="BA114" s="4" t="str">
        <f t="shared" si="118"/>
        <v>х</v>
      </c>
      <c r="BB114" s="4" t="str">
        <f t="shared" si="118"/>
        <v>х</v>
      </c>
      <c r="BC114" s="4" t="str">
        <f t="shared" si="118"/>
        <v>х</v>
      </c>
      <c r="BD114" s="4" t="str">
        <f t="shared" si="118"/>
        <v>х</v>
      </c>
      <c r="BE114" s="4" t="str">
        <f t="shared" si="119"/>
        <v>х</v>
      </c>
      <c r="BF114" s="4" t="str">
        <f t="shared" si="119"/>
        <v>х</v>
      </c>
      <c r="BG114" s="4" t="str">
        <f t="shared" si="119"/>
        <v>х</v>
      </c>
      <c r="BH114" s="4" t="str">
        <f t="shared" si="119"/>
        <v>х</v>
      </c>
      <c r="BI114" s="4" t="str">
        <f t="shared" si="119"/>
        <v>х</v>
      </c>
      <c r="BJ114" s="4" t="str">
        <f t="shared" si="119"/>
        <v>х</v>
      </c>
      <c r="BK114" s="4" t="str">
        <f t="shared" si="119"/>
        <v>х</v>
      </c>
      <c r="BL114" s="4" t="str">
        <f t="shared" si="119"/>
        <v>х</v>
      </c>
      <c r="BM114" s="4" t="str">
        <f t="shared" si="119"/>
        <v>х</v>
      </c>
      <c r="BN114" s="4" t="str">
        <f t="shared" si="119"/>
        <v>х</v>
      </c>
      <c r="BO114" s="4" t="str">
        <f t="shared" si="119"/>
        <v>х</v>
      </c>
      <c r="BP114" s="4" t="str">
        <f t="shared" si="119"/>
        <v>х</v>
      </c>
      <c r="BQ114" s="4" t="str">
        <f t="shared" si="119"/>
        <v>х</v>
      </c>
      <c r="BR114" s="4" t="str">
        <f>"1980"</f>
        <v>1980</v>
      </c>
      <c r="BS114" s="4" t="str">
        <f>"40,00"</f>
        <v>40,00</v>
      </c>
      <c r="BT114" s="4" t="str">
        <f>"2028-2030"</f>
        <v>2028-2030</v>
      </c>
      <c r="BU114" s="4" t="str">
        <f t="shared" si="73"/>
        <v>нет</v>
      </c>
      <c r="BV114" s="4" t="str">
        <f t="shared" ref="BV114:BX133" si="121">"x"</f>
        <v>x</v>
      </c>
      <c r="BW114" s="4" t="str">
        <f t="shared" si="121"/>
        <v>x</v>
      </c>
      <c r="BX114" s="4" t="str">
        <f t="shared" si="121"/>
        <v>x</v>
      </c>
      <c r="BY114" s="4" t="str">
        <f t="shared" si="120"/>
        <v>нет</v>
      </c>
      <c r="BZ114" s="4" t="str">
        <f t="shared" ref="BZ114:CB126" si="122">"x"</f>
        <v>x</v>
      </c>
      <c r="CA114" s="4" t="str">
        <f t="shared" si="122"/>
        <v>x</v>
      </c>
      <c r="CB114" s="4" t="str">
        <f t="shared" si="122"/>
        <v>x</v>
      </c>
      <c r="CC114" s="4" t="str">
        <f>"1980"</f>
        <v>1980</v>
      </c>
      <c r="CD114" s="4" t="str">
        <f>"40,00"</f>
        <v>40,00</v>
      </c>
      <c r="CE114" s="4" t="str">
        <f>"2028-2030"</f>
        <v>2028-2030</v>
      </c>
      <c r="CF114" s="4" t="str">
        <f>"1980"</f>
        <v>1980</v>
      </c>
      <c r="CG114" s="4" t="str">
        <f>"25,00"</f>
        <v>25,00</v>
      </c>
      <c r="CH114" s="4" t="str">
        <f>"2028-2030"</f>
        <v>2028-2030</v>
      </c>
      <c r="CI114" s="4" t="str">
        <f>"38,00"</f>
        <v>38,00</v>
      </c>
      <c r="CJ114" s="4" t="str">
        <f>"2028-2030"</f>
        <v>2028-2030</v>
      </c>
    </row>
    <row r="115" spans="1:88" ht="11.25" customHeight="1">
      <c r="A115" s="45" t="str">
        <f>"24.102"</f>
        <v>24.102</v>
      </c>
      <c r="B115" s="46" t="str">
        <f>"г. Харовск, ул.Дом Отдыха, д.3"</f>
        <v>г. Харовск, ул.Дом Отдыха, д.3</v>
      </c>
      <c r="C115" s="6" t="str">
        <f>"1965"</f>
        <v>1965</v>
      </c>
      <c r="D115" s="4" t="str">
        <f>"1965"</f>
        <v>1965</v>
      </c>
      <c r="E115" s="4" t="str">
        <f>"70,00"</f>
        <v>70,00</v>
      </c>
      <c r="F115" s="4" t="str">
        <f>"2022-2024"</f>
        <v>2022-2024</v>
      </c>
      <c r="G115" s="4" t="str">
        <f t="shared" si="91"/>
        <v>нет</v>
      </c>
      <c r="H115" s="4" t="str">
        <f>""</f>
        <v/>
      </c>
      <c r="I115" s="4" t="str">
        <f>""</f>
        <v/>
      </c>
      <c r="J115" s="4" t="str">
        <f>""</f>
        <v/>
      </c>
      <c r="K115" s="4" t="str">
        <f t="shared" si="72"/>
        <v>нет</v>
      </c>
      <c r="L115" s="4" t="str">
        <f>""</f>
        <v/>
      </c>
      <c r="M115" s="4" t="str">
        <f>""</f>
        <v/>
      </c>
      <c r="N115" s="4" t="str">
        <f>""</f>
        <v/>
      </c>
      <c r="O115" s="7" t="str">
        <f t="shared" si="116"/>
        <v>х</v>
      </c>
      <c r="P115" s="4" t="str">
        <f t="shared" si="116"/>
        <v>х</v>
      </c>
      <c r="Q115" s="4" t="str">
        <f t="shared" si="116"/>
        <v>х</v>
      </c>
      <c r="R115" s="4" t="str">
        <f t="shared" si="116"/>
        <v>х</v>
      </c>
      <c r="S115" s="4" t="str">
        <f t="shared" si="116"/>
        <v>х</v>
      </c>
      <c r="T115" s="4" t="str">
        <f t="shared" si="116"/>
        <v>х</v>
      </c>
      <c r="U115" s="4" t="str">
        <f t="shared" si="116"/>
        <v>х</v>
      </c>
      <c r="V115" s="4" t="str">
        <f t="shared" si="116"/>
        <v>х</v>
      </c>
      <c r="W115" s="4" t="str">
        <f t="shared" si="116"/>
        <v>х</v>
      </c>
      <c r="X115" s="4" t="str">
        <f t="shared" si="116"/>
        <v>х</v>
      </c>
      <c r="Y115" s="8" t="str">
        <f t="shared" si="116"/>
        <v>х</v>
      </c>
      <c r="Z115" s="4" t="str">
        <f t="shared" si="111"/>
        <v>х</v>
      </c>
      <c r="AA115" s="4" t="str">
        <f t="shared" si="111"/>
        <v>х</v>
      </c>
      <c r="AB115" s="4" t="str">
        <f t="shared" si="111"/>
        <v>х</v>
      </c>
      <c r="AC115" s="4" t="str">
        <f t="shared" si="111"/>
        <v>х</v>
      </c>
      <c r="AD115" s="4" t="str">
        <f t="shared" si="111"/>
        <v>х</v>
      </c>
      <c r="AE115" s="4" t="str">
        <f t="shared" si="99"/>
        <v>х</v>
      </c>
      <c r="AF115" s="4" t="str">
        <f t="shared" si="112"/>
        <v>х</v>
      </c>
      <c r="AG115" s="4" t="str">
        <f t="shared" si="112"/>
        <v>х</v>
      </c>
      <c r="AH115" s="4" t="str">
        <f t="shared" si="112"/>
        <v>х</v>
      </c>
      <c r="AI115" s="4" t="str">
        <f t="shared" si="112"/>
        <v>х</v>
      </c>
      <c r="AJ115" s="4" t="str">
        <f t="shared" si="112"/>
        <v>х</v>
      </c>
      <c r="AK115" s="7" t="str">
        <f t="shared" si="117"/>
        <v>х</v>
      </c>
      <c r="AL115" s="4" t="str">
        <f t="shared" si="117"/>
        <v>х</v>
      </c>
      <c r="AM115" s="4" t="str">
        <f t="shared" si="117"/>
        <v>х</v>
      </c>
      <c r="AN115" s="4" t="str">
        <f t="shared" si="117"/>
        <v>х</v>
      </c>
      <c r="AO115" s="4" t="str">
        <f t="shared" si="117"/>
        <v>х</v>
      </c>
      <c r="AP115" s="4" t="str">
        <f t="shared" si="117"/>
        <v>х</v>
      </c>
      <c r="AQ115" s="4" t="str">
        <f t="shared" si="117"/>
        <v>х</v>
      </c>
      <c r="AR115" s="4" t="str">
        <f t="shared" si="117"/>
        <v>х</v>
      </c>
      <c r="AS115" s="4" t="str">
        <f t="shared" si="117"/>
        <v>х</v>
      </c>
      <c r="AT115" s="4" t="str">
        <f t="shared" si="117"/>
        <v>х</v>
      </c>
      <c r="AU115" s="4" t="str">
        <f t="shared" si="118"/>
        <v>х</v>
      </c>
      <c r="AV115" s="4" t="str">
        <f t="shared" si="118"/>
        <v>х</v>
      </c>
      <c r="AW115" s="4" t="str">
        <f t="shared" si="118"/>
        <v>х</v>
      </c>
      <c r="AX115" s="4" t="str">
        <f t="shared" si="118"/>
        <v>х</v>
      </c>
      <c r="AY115" s="4" t="str">
        <f t="shared" si="118"/>
        <v>х</v>
      </c>
      <c r="AZ115" s="4" t="str">
        <f t="shared" si="118"/>
        <v>х</v>
      </c>
      <c r="BA115" s="4" t="str">
        <f t="shared" si="118"/>
        <v>х</v>
      </c>
      <c r="BB115" s="4" t="str">
        <f t="shared" si="118"/>
        <v>х</v>
      </c>
      <c r="BC115" s="4" t="str">
        <f t="shared" si="118"/>
        <v>х</v>
      </c>
      <c r="BD115" s="4" t="str">
        <f t="shared" si="118"/>
        <v>х</v>
      </c>
      <c r="BE115" s="4" t="str">
        <f t="shared" si="119"/>
        <v>х</v>
      </c>
      <c r="BF115" s="4" t="str">
        <f t="shared" si="119"/>
        <v>х</v>
      </c>
      <c r="BG115" s="4" t="str">
        <f t="shared" si="119"/>
        <v>х</v>
      </c>
      <c r="BH115" s="4" t="str">
        <f t="shared" si="119"/>
        <v>х</v>
      </c>
      <c r="BI115" s="4" t="str">
        <f t="shared" si="119"/>
        <v>х</v>
      </c>
      <c r="BJ115" s="4" t="str">
        <f t="shared" si="119"/>
        <v>х</v>
      </c>
      <c r="BK115" s="4" t="str">
        <f t="shared" si="119"/>
        <v>х</v>
      </c>
      <c r="BL115" s="4" t="str">
        <f t="shared" si="119"/>
        <v>х</v>
      </c>
      <c r="BM115" s="4" t="str">
        <f t="shared" si="119"/>
        <v>х</v>
      </c>
      <c r="BN115" s="4" t="str">
        <f t="shared" si="119"/>
        <v>х</v>
      </c>
      <c r="BO115" s="4" t="str">
        <f t="shared" si="119"/>
        <v>х</v>
      </c>
      <c r="BP115" s="4" t="str">
        <f t="shared" si="119"/>
        <v>х</v>
      </c>
      <c r="BQ115" s="4" t="str">
        <f t="shared" si="119"/>
        <v>х</v>
      </c>
      <c r="BR115" s="4" t="str">
        <f>"1965"</f>
        <v>1965</v>
      </c>
      <c r="BS115" s="4" t="str">
        <f>"75,00"</f>
        <v>75,00</v>
      </c>
      <c r="BT115" s="4" t="str">
        <f>"2022-2024"</f>
        <v>2022-2024</v>
      </c>
      <c r="BU115" s="4" t="str">
        <f t="shared" si="73"/>
        <v>нет</v>
      </c>
      <c r="BV115" s="4" t="str">
        <f t="shared" si="121"/>
        <v>x</v>
      </c>
      <c r="BW115" s="4" t="str">
        <f t="shared" si="121"/>
        <v>x</v>
      </c>
      <c r="BX115" s="4" t="str">
        <f t="shared" si="121"/>
        <v>x</v>
      </c>
      <c r="BY115" s="4" t="str">
        <f t="shared" si="120"/>
        <v>нет</v>
      </c>
      <c r="BZ115" s="4" t="str">
        <f t="shared" si="122"/>
        <v>x</v>
      </c>
      <c r="CA115" s="4" t="str">
        <f t="shared" si="122"/>
        <v>x</v>
      </c>
      <c r="CB115" s="4" t="str">
        <f t="shared" si="122"/>
        <v>x</v>
      </c>
      <c r="CC115" s="4" t="str">
        <f>"1965"</f>
        <v>1965</v>
      </c>
      <c r="CD115" s="4" t="str">
        <f>"70,00"</f>
        <v>70,00</v>
      </c>
      <c r="CE115" s="4" t="str">
        <f>"2022-2024"</f>
        <v>2022-2024</v>
      </c>
      <c r="CF115" s="4" t="str">
        <f>"1965"</f>
        <v>1965</v>
      </c>
      <c r="CG115" s="4" t="str">
        <f>"70,00"</f>
        <v>70,00</v>
      </c>
      <c r="CH115" s="4" t="str">
        <f>"2022-2024"</f>
        <v>2022-2024</v>
      </c>
      <c r="CI115" s="4" t="str">
        <f>"68,00"</f>
        <v>68,00</v>
      </c>
      <c r="CJ115" s="4" t="str">
        <f>"2022-2024"</f>
        <v>2022-2024</v>
      </c>
    </row>
    <row r="116" spans="1:88" ht="11.25" customHeight="1">
      <c r="A116" s="45" t="str">
        <f>"24.103"</f>
        <v>24.103</v>
      </c>
      <c r="B116" s="46" t="str">
        <f>"г. Харовск, ул.Дом Отдыха, д.5"</f>
        <v>г. Харовск, ул.Дом Отдыха, д.5</v>
      </c>
      <c r="C116" s="6" t="str">
        <f>"1967"</f>
        <v>1967</v>
      </c>
      <c r="D116" s="4" t="str">
        <f>"1967"</f>
        <v>1967</v>
      </c>
      <c r="E116" s="4" t="str">
        <f>"60,00"</f>
        <v>60,00</v>
      </c>
      <c r="F116" s="4" t="str">
        <f>"2023-2025"</f>
        <v>2023-2025</v>
      </c>
      <c r="G116" s="4" t="str">
        <f t="shared" si="91"/>
        <v>нет</v>
      </c>
      <c r="H116" s="4" t="str">
        <f>""</f>
        <v/>
      </c>
      <c r="I116" s="4" t="str">
        <f>""</f>
        <v/>
      </c>
      <c r="J116" s="4" t="str">
        <f>""</f>
        <v/>
      </c>
      <c r="K116" s="4" t="str">
        <f t="shared" si="72"/>
        <v>нет</v>
      </c>
      <c r="L116" s="4" t="str">
        <f>""</f>
        <v/>
      </c>
      <c r="M116" s="4" t="str">
        <f>""</f>
        <v/>
      </c>
      <c r="N116" s="4" t="str">
        <f>""</f>
        <v/>
      </c>
      <c r="O116" s="7" t="str">
        <f t="shared" si="116"/>
        <v>х</v>
      </c>
      <c r="P116" s="4" t="str">
        <f t="shared" si="116"/>
        <v>х</v>
      </c>
      <c r="Q116" s="4" t="str">
        <f t="shared" si="116"/>
        <v>х</v>
      </c>
      <c r="R116" s="4" t="str">
        <f t="shared" si="116"/>
        <v>х</v>
      </c>
      <c r="S116" s="4" t="str">
        <f t="shared" si="116"/>
        <v>х</v>
      </c>
      <c r="T116" s="4" t="str">
        <f t="shared" si="116"/>
        <v>х</v>
      </c>
      <c r="U116" s="4" t="str">
        <f t="shared" si="116"/>
        <v>х</v>
      </c>
      <c r="V116" s="4" t="str">
        <f t="shared" si="116"/>
        <v>х</v>
      </c>
      <c r="W116" s="4" t="str">
        <f t="shared" si="116"/>
        <v>х</v>
      </c>
      <c r="X116" s="4" t="str">
        <f t="shared" si="116"/>
        <v>х</v>
      </c>
      <c r="Y116" s="8" t="str">
        <f t="shared" si="116"/>
        <v>х</v>
      </c>
      <c r="Z116" s="4" t="str">
        <f t="shared" ref="Z116:AD125" si="123">"х"</f>
        <v>х</v>
      </c>
      <c r="AA116" s="4" t="str">
        <f t="shared" si="123"/>
        <v>х</v>
      </c>
      <c r="AB116" s="4" t="str">
        <f t="shared" si="123"/>
        <v>х</v>
      </c>
      <c r="AC116" s="4" t="str">
        <f t="shared" si="123"/>
        <v>х</v>
      </c>
      <c r="AD116" s="4" t="str">
        <f t="shared" si="123"/>
        <v>х</v>
      </c>
      <c r="AE116" s="4" t="str">
        <f t="shared" si="99"/>
        <v>х</v>
      </c>
      <c r="AF116" s="4" t="str">
        <f t="shared" ref="AF116:AJ125" si="124">"х"</f>
        <v>х</v>
      </c>
      <c r="AG116" s="4" t="str">
        <f t="shared" si="124"/>
        <v>х</v>
      </c>
      <c r="AH116" s="4" t="str">
        <f t="shared" si="124"/>
        <v>х</v>
      </c>
      <c r="AI116" s="4" t="str">
        <f t="shared" si="124"/>
        <v>х</v>
      </c>
      <c r="AJ116" s="4" t="str">
        <f t="shared" si="124"/>
        <v>х</v>
      </c>
      <c r="AK116" s="7" t="str">
        <f t="shared" si="117"/>
        <v>х</v>
      </c>
      <c r="AL116" s="4" t="str">
        <f t="shared" si="117"/>
        <v>х</v>
      </c>
      <c r="AM116" s="4" t="str">
        <f t="shared" si="117"/>
        <v>х</v>
      </c>
      <c r="AN116" s="4" t="str">
        <f t="shared" si="117"/>
        <v>х</v>
      </c>
      <c r="AO116" s="4" t="str">
        <f t="shared" si="117"/>
        <v>х</v>
      </c>
      <c r="AP116" s="4" t="str">
        <f t="shared" si="117"/>
        <v>х</v>
      </c>
      <c r="AQ116" s="4" t="str">
        <f t="shared" si="117"/>
        <v>х</v>
      </c>
      <c r="AR116" s="4" t="str">
        <f t="shared" si="117"/>
        <v>х</v>
      </c>
      <c r="AS116" s="4" t="str">
        <f t="shared" si="117"/>
        <v>х</v>
      </c>
      <c r="AT116" s="4" t="str">
        <f t="shared" si="117"/>
        <v>х</v>
      </c>
      <c r="AU116" s="4" t="str">
        <f t="shared" si="118"/>
        <v>х</v>
      </c>
      <c r="AV116" s="4" t="str">
        <f t="shared" si="118"/>
        <v>х</v>
      </c>
      <c r="AW116" s="4" t="str">
        <f t="shared" si="118"/>
        <v>х</v>
      </c>
      <c r="AX116" s="4" t="str">
        <f t="shared" si="118"/>
        <v>х</v>
      </c>
      <c r="AY116" s="4" t="str">
        <f t="shared" si="118"/>
        <v>х</v>
      </c>
      <c r="AZ116" s="4" t="str">
        <f t="shared" si="118"/>
        <v>х</v>
      </c>
      <c r="BA116" s="4" t="str">
        <f t="shared" si="118"/>
        <v>х</v>
      </c>
      <c r="BB116" s="4" t="str">
        <f t="shared" si="118"/>
        <v>х</v>
      </c>
      <c r="BC116" s="4" t="str">
        <f t="shared" si="118"/>
        <v>х</v>
      </c>
      <c r="BD116" s="4" t="str">
        <f t="shared" si="118"/>
        <v>х</v>
      </c>
      <c r="BE116" s="4" t="str">
        <f t="shared" si="119"/>
        <v>х</v>
      </c>
      <c r="BF116" s="4" t="str">
        <f t="shared" si="119"/>
        <v>х</v>
      </c>
      <c r="BG116" s="4" t="str">
        <f t="shared" si="119"/>
        <v>х</v>
      </c>
      <c r="BH116" s="4" t="str">
        <f t="shared" si="119"/>
        <v>х</v>
      </c>
      <c r="BI116" s="4" t="str">
        <f t="shared" si="119"/>
        <v>х</v>
      </c>
      <c r="BJ116" s="4" t="str">
        <f t="shared" si="119"/>
        <v>х</v>
      </c>
      <c r="BK116" s="4" t="str">
        <f t="shared" si="119"/>
        <v>х</v>
      </c>
      <c r="BL116" s="4" t="str">
        <f t="shared" si="119"/>
        <v>х</v>
      </c>
      <c r="BM116" s="4" t="str">
        <f t="shared" si="119"/>
        <v>х</v>
      </c>
      <c r="BN116" s="4" t="str">
        <f t="shared" si="119"/>
        <v>х</v>
      </c>
      <c r="BO116" s="4" t="str">
        <f t="shared" si="119"/>
        <v>х</v>
      </c>
      <c r="BP116" s="4" t="str">
        <f t="shared" si="119"/>
        <v>х</v>
      </c>
      <c r="BQ116" s="4" t="str">
        <f t="shared" si="119"/>
        <v>х</v>
      </c>
      <c r="BR116" s="4" t="str">
        <f>"1967"</f>
        <v>1967</v>
      </c>
      <c r="BS116" s="4" t="str">
        <f>"50,00"</f>
        <v>50,00</v>
      </c>
      <c r="BT116" s="4" t="str">
        <f>"2023-2025"</f>
        <v>2023-2025</v>
      </c>
      <c r="BU116" s="4" t="str">
        <f t="shared" si="73"/>
        <v>нет</v>
      </c>
      <c r="BV116" s="4" t="str">
        <f t="shared" si="121"/>
        <v>x</v>
      </c>
      <c r="BW116" s="4" t="str">
        <f t="shared" si="121"/>
        <v>x</v>
      </c>
      <c r="BX116" s="4" t="str">
        <f t="shared" si="121"/>
        <v>x</v>
      </c>
      <c r="BY116" s="4" t="str">
        <f t="shared" si="120"/>
        <v>нет</v>
      </c>
      <c r="BZ116" s="4" t="str">
        <f t="shared" si="122"/>
        <v>x</v>
      </c>
      <c r="CA116" s="4" t="str">
        <f t="shared" si="122"/>
        <v>x</v>
      </c>
      <c r="CB116" s="4" t="str">
        <f t="shared" si="122"/>
        <v>x</v>
      </c>
      <c r="CC116" s="4" t="str">
        <f>"1967"</f>
        <v>1967</v>
      </c>
      <c r="CD116" s="4" t="str">
        <f>"55,00"</f>
        <v>55,00</v>
      </c>
      <c r="CE116" s="4" t="str">
        <f>"2023-2025"</f>
        <v>2023-2025</v>
      </c>
      <c r="CF116" s="4" t="str">
        <f>"1967"</f>
        <v>1967</v>
      </c>
      <c r="CG116" s="4" t="str">
        <f>"20,00"</f>
        <v>20,00</v>
      </c>
      <c r="CH116" s="4" t="str">
        <f>"2023-2025"</f>
        <v>2023-2025</v>
      </c>
      <c r="CI116" s="4" t="str">
        <f>"47,00"</f>
        <v>47,00</v>
      </c>
      <c r="CJ116" s="4" t="str">
        <f>"2023-2025"</f>
        <v>2023-2025</v>
      </c>
    </row>
    <row r="117" spans="1:88" ht="11.25" customHeight="1">
      <c r="A117" s="45" t="str">
        <f>"24.104"</f>
        <v>24.104</v>
      </c>
      <c r="B117" s="46" t="str">
        <f>"г. Харовск, ул.Дом Отдыха, д.7А"</f>
        <v>г. Харовск, ул.Дом Отдыха, д.7А</v>
      </c>
      <c r="C117" s="6" t="str">
        <f>"1995"</f>
        <v>1995</v>
      </c>
      <c r="D117" s="4" t="str">
        <f>"1995"</f>
        <v>1995</v>
      </c>
      <c r="E117" s="4" t="str">
        <f>"30,00"</f>
        <v>30,00</v>
      </c>
      <c r="F117" s="4" t="str">
        <f>"2035-2037"</f>
        <v>2035-2037</v>
      </c>
      <c r="G117" s="4" t="str">
        <f t="shared" si="91"/>
        <v>нет</v>
      </c>
      <c r="H117" s="4" t="str">
        <f>""</f>
        <v/>
      </c>
      <c r="I117" s="4" t="str">
        <f>""</f>
        <v/>
      </c>
      <c r="J117" s="4" t="str">
        <f>""</f>
        <v/>
      </c>
      <c r="K117" s="4" t="str">
        <f t="shared" si="72"/>
        <v>нет</v>
      </c>
      <c r="L117" s="4" t="str">
        <f>""</f>
        <v/>
      </c>
      <c r="M117" s="4" t="str">
        <f>""</f>
        <v/>
      </c>
      <c r="N117" s="4" t="str">
        <f>""</f>
        <v/>
      </c>
      <c r="O117" s="7" t="str">
        <f t="shared" si="116"/>
        <v>х</v>
      </c>
      <c r="P117" s="4" t="str">
        <f t="shared" si="116"/>
        <v>х</v>
      </c>
      <c r="Q117" s="4" t="str">
        <f t="shared" si="116"/>
        <v>х</v>
      </c>
      <c r="R117" s="4" t="str">
        <f t="shared" si="116"/>
        <v>х</v>
      </c>
      <c r="S117" s="4" t="str">
        <f t="shared" si="116"/>
        <v>х</v>
      </c>
      <c r="T117" s="4" t="str">
        <f t="shared" si="116"/>
        <v>х</v>
      </c>
      <c r="U117" s="4" t="str">
        <f t="shared" si="116"/>
        <v>х</v>
      </c>
      <c r="V117" s="4" t="str">
        <f t="shared" si="116"/>
        <v>х</v>
      </c>
      <c r="W117" s="4" t="str">
        <f t="shared" si="116"/>
        <v>х</v>
      </c>
      <c r="X117" s="4" t="str">
        <f t="shared" si="116"/>
        <v>х</v>
      </c>
      <c r="Y117" s="8" t="str">
        <f t="shared" si="116"/>
        <v>х</v>
      </c>
      <c r="Z117" s="4" t="str">
        <f t="shared" si="123"/>
        <v>х</v>
      </c>
      <c r="AA117" s="4" t="str">
        <f t="shared" si="123"/>
        <v>х</v>
      </c>
      <c r="AB117" s="4" t="str">
        <f t="shared" si="123"/>
        <v>х</v>
      </c>
      <c r="AC117" s="4" t="str">
        <f t="shared" si="123"/>
        <v>х</v>
      </c>
      <c r="AD117" s="4" t="str">
        <f t="shared" si="123"/>
        <v>х</v>
      </c>
      <c r="AE117" s="4" t="str">
        <f t="shared" si="99"/>
        <v>х</v>
      </c>
      <c r="AF117" s="4" t="str">
        <f t="shared" si="124"/>
        <v>х</v>
      </c>
      <c r="AG117" s="4" t="str">
        <f t="shared" si="124"/>
        <v>х</v>
      </c>
      <c r="AH117" s="4" t="str">
        <f t="shared" si="124"/>
        <v>х</v>
      </c>
      <c r="AI117" s="4" t="str">
        <f t="shared" si="124"/>
        <v>х</v>
      </c>
      <c r="AJ117" s="4" t="str">
        <f t="shared" si="124"/>
        <v>х</v>
      </c>
      <c r="AK117" s="7" t="str">
        <f t="shared" si="117"/>
        <v>х</v>
      </c>
      <c r="AL117" s="4" t="str">
        <f t="shared" si="117"/>
        <v>х</v>
      </c>
      <c r="AM117" s="4" t="str">
        <f t="shared" si="117"/>
        <v>х</v>
      </c>
      <c r="AN117" s="4" t="str">
        <f t="shared" si="117"/>
        <v>х</v>
      </c>
      <c r="AO117" s="4" t="str">
        <f t="shared" si="117"/>
        <v>х</v>
      </c>
      <c r="AP117" s="4" t="str">
        <f t="shared" si="117"/>
        <v>х</v>
      </c>
      <c r="AQ117" s="4" t="str">
        <f t="shared" si="117"/>
        <v>х</v>
      </c>
      <c r="AR117" s="4" t="str">
        <f t="shared" si="117"/>
        <v>х</v>
      </c>
      <c r="AS117" s="4" t="str">
        <f t="shared" si="117"/>
        <v>х</v>
      </c>
      <c r="AT117" s="4" t="str">
        <f t="shared" si="117"/>
        <v>х</v>
      </c>
      <c r="AU117" s="4" t="str">
        <f t="shared" si="118"/>
        <v>х</v>
      </c>
      <c r="AV117" s="4" t="str">
        <f t="shared" si="118"/>
        <v>х</v>
      </c>
      <c r="AW117" s="4" t="str">
        <f t="shared" si="118"/>
        <v>х</v>
      </c>
      <c r="AX117" s="4" t="str">
        <f t="shared" si="118"/>
        <v>х</v>
      </c>
      <c r="AY117" s="4" t="str">
        <f t="shared" si="118"/>
        <v>х</v>
      </c>
      <c r="AZ117" s="4" t="str">
        <f t="shared" si="118"/>
        <v>х</v>
      </c>
      <c r="BA117" s="4" t="str">
        <f t="shared" si="118"/>
        <v>х</v>
      </c>
      <c r="BB117" s="4" t="str">
        <f t="shared" si="118"/>
        <v>х</v>
      </c>
      <c r="BC117" s="4" t="str">
        <f t="shared" si="118"/>
        <v>х</v>
      </c>
      <c r="BD117" s="4" t="str">
        <f t="shared" si="118"/>
        <v>х</v>
      </c>
      <c r="BE117" s="4" t="str">
        <f t="shared" si="119"/>
        <v>х</v>
      </c>
      <c r="BF117" s="4" t="str">
        <f t="shared" si="119"/>
        <v>х</v>
      </c>
      <c r="BG117" s="4" t="str">
        <f t="shared" si="119"/>
        <v>х</v>
      </c>
      <c r="BH117" s="4" t="str">
        <f t="shared" si="119"/>
        <v>х</v>
      </c>
      <c r="BI117" s="4" t="str">
        <f t="shared" si="119"/>
        <v>х</v>
      </c>
      <c r="BJ117" s="4" t="str">
        <f t="shared" si="119"/>
        <v>х</v>
      </c>
      <c r="BK117" s="4" t="str">
        <f t="shared" si="119"/>
        <v>х</v>
      </c>
      <c r="BL117" s="4" t="str">
        <f t="shared" si="119"/>
        <v>х</v>
      </c>
      <c r="BM117" s="4" t="str">
        <f t="shared" si="119"/>
        <v>х</v>
      </c>
      <c r="BN117" s="4" t="str">
        <f t="shared" si="119"/>
        <v>х</v>
      </c>
      <c r="BO117" s="4" t="str">
        <f t="shared" si="119"/>
        <v>х</v>
      </c>
      <c r="BP117" s="4" t="str">
        <f t="shared" si="119"/>
        <v>х</v>
      </c>
      <c r="BQ117" s="4" t="str">
        <f t="shared" si="119"/>
        <v>х</v>
      </c>
      <c r="BR117" s="4" t="str">
        <f>"1995"</f>
        <v>1995</v>
      </c>
      <c r="BS117" s="4" t="str">
        <f>"20,00"</f>
        <v>20,00</v>
      </c>
      <c r="BT117" s="4" t="str">
        <f>"2035-2037"</f>
        <v>2035-2037</v>
      </c>
      <c r="BU117" s="4" t="str">
        <f t="shared" si="73"/>
        <v>нет</v>
      </c>
      <c r="BV117" s="4" t="str">
        <f t="shared" si="121"/>
        <v>x</v>
      </c>
      <c r="BW117" s="4" t="str">
        <f t="shared" si="121"/>
        <v>x</v>
      </c>
      <c r="BX117" s="4" t="str">
        <f t="shared" si="121"/>
        <v>x</v>
      </c>
      <c r="BY117" s="4" t="str">
        <f t="shared" si="120"/>
        <v>нет</v>
      </c>
      <c r="BZ117" s="4" t="str">
        <f t="shared" si="122"/>
        <v>x</v>
      </c>
      <c r="CA117" s="4" t="str">
        <f t="shared" si="122"/>
        <v>x</v>
      </c>
      <c r="CB117" s="4" t="str">
        <f t="shared" si="122"/>
        <v>x</v>
      </c>
      <c r="CC117" s="4" t="str">
        <f>"1995"</f>
        <v>1995</v>
      </c>
      <c r="CD117" s="4" t="str">
        <f>"10,00"</f>
        <v>10,00</v>
      </c>
      <c r="CE117" s="4" t="str">
        <f>"2035-2037"</f>
        <v>2035-2037</v>
      </c>
      <c r="CF117" s="4" t="str">
        <f>"1995"</f>
        <v>1995</v>
      </c>
      <c r="CG117" s="4" t="str">
        <f>"5,00"</f>
        <v>5,00</v>
      </c>
      <c r="CH117" s="4" t="str">
        <f>"2035-2037"</f>
        <v>2035-2037</v>
      </c>
      <c r="CI117" s="4" t="str">
        <f>"19,00"</f>
        <v>19,00</v>
      </c>
      <c r="CJ117" s="4" t="str">
        <f>"2035-2037"</f>
        <v>2035-2037</v>
      </c>
    </row>
    <row r="118" spans="1:88" ht="11.25" customHeight="1">
      <c r="A118" s="45" t="str">
        <f>"24.105"</f>
        <v>24.105</v>
      </c>
      <c r="B118" s="46" t="str">
        <f>"г. Харовск, ул.Заболотная, д.11"</f>
        <v>г. Харовск, ул.Заболотная, д.11</v>
      </c>
      <c r="C118" s="6" t="str">
        <f>"1977"</f>
        <v>1977</v>
      </c>
      <c r="D118" s="4" t="str">
        <f>"1977"</f>
        <v>1977</v>
      </c>
      <c r="E118" s="4" t="str">
        <f>"55,00"</f>
        <v>55,00</v>
      </c>
      <c r="F118" s="4" t="str">
        <f>"2027-2029"</f>
        <v>2027-2029</v>
      </c>
      <c r="G118" s="4" t="str">
        <f t="shared" si="91"/>
        <v>нет</v>
      </c>
      <c r="H118" s="4" t="str">
        <f>""</f>
        <v/>
      </c>
      <c r="I118" s="4" t="str">
        <f>""</f>
        <v/>
      </c>
      <c r="J118" s="4" t="str">
        <f>""</f>
        <v/>
      </c>
      <c r="K118" s="4" t="str">
        <f t="shared" si="72"/>
        <v>нет</v>
      </c>
      <c r="L118" s="4" t="str">
        <f>""</f>
        <v/>
      </c>
      <c r="M118" s="4" t="str">
        <f>""</f>
        <v/>
      </c>
      <c r="N118" s="4" t="str">
        <f>""</f>
        <v/>
      </c>
      <c r="O118" s="7" t="str">
        <f t="shared" si="116"/>
        <v>х</v>
      </c>
      <c r="P118" s="4" t="str">
        <f t="shared" si="116"/>
        <v>х</v>
      </c>
      <c r="Q118" s="4" t="str">
        <f t="shared" si="116"/>
        <v>х</v>
      </c>
      <c r="R118" s="4" t="str">
        <f t="shared" si="116"/>
        <v>х</v>
      </c>
      <c r="S118" s="4" t="str">
        <f t="shared" si="116"/>
        <v>х</v>
      </c>
      <c r="T118" s="4" t="str">
        <f t="shared" si="116"/>
        <v>х</v>
      </c>
      <c r="U118" s="4" t="str">
        <f t="shared" si="116"/>
        <v>х</v>
      </c>
      <c r="V118" s="4" t="str">
        <f t="shared" si="116"/>
        <v>х</v>
      </c>
      <c r="W118" s="4" t="str">
        <f t="shared" si="116"/>
        <v>х</v>
      </c>
      <c r="X118" s="4" t="str">
        <f t="shared" si="116"/>
        <v>х</v>
      </c>
      <c r="Y118" s="8" t="str">
        <f t="shared" si="116"/>
        <v>х</v>
      </c>
      <c r="Z118" s="4" t="str">
        <f t="shared" si="123"/>
        <v>х</v>
      </c>
      <c r="AA118" s="4" t="str">
        <f t="shared" si="123"/>
        <v>х</v>
      </c>
      <c r="AB118" s="4" t="str">
        <f t="shared" si="123"/>
        <v>х</v>
      </c>
      <c r="AC118" s="4" t="str">
        <f t="shared" si="123"/>
        <v>х</v>
      </c>
      <c r="AD118" s="4" t="str">
        <f t="shared" si="123"/>
        <v>х</v>
      </c>
      <c r="AE118" s="4" t="str">
        <f t="shared" si="99"/>
        <v>х</v>
      </c>
      <c r="AF118" s="4" t="str">
        <f t="shared" si="124"/>
        <v>х</v>
      </c>
      <c r="AG118" s="4" t="str">
        <f t="shared" si="124"/>
        <v>х</v>
      </c>
      <c r="AH118" s="4" t="str">
        <f t="shared" si="124"/>
        <v>х</v>
      </c>
      <c r="AI118" s="4" t="str">
        <f t="shared" si="124"/>
        <v>х</v>
      </c>
      <c r="AJ118" s="4" t="str">
        <f t="shared" si="124"/>
        <v>х</v>
      </c>
      <c r="AK118" s="7" t="str">
        <f>"1977"</f>
        <v>1977</v>
      </c>
      <c r="AL118" s="4" t="str">
        <f>"55,00"</f>
        <v>55,00</v>
      </c>
      <c r="AM118" s="4" t="str">
        <f>"2027-2029"</f>
        <v>2027-2029</v>
      </c>
      <c r="AN118" s="4" t="str">
        <f>"нет"</f>
        <v>нет</v>
      </c>
      <c r="AO118" s="4" t="str">
        <f>""</f>
        <v/>
      </c>
      <c r="AP118" s="4" t="str">
        <f>""</f>
        <v/>
      </c>
      <c r="AQ118" s="4" t="str">
        <f>""</f>
        <v/>
      </c>
      <c r="AR118" s="4" t="str">
        <f>"нет"</f>
        <v>нет</v>
      </c>
      <c r="AS118" s="4" t="str">
        <f>""</f>
        <v/>
      </c>
      <c r="AT118" s="4" t="str">
        <f>""</f>
        <v/>
      </c>
      <c r="AU118" s="4" t="str">
        <f>""</f>
        <v/>
      </c>
      <c r="AV118" s="4" t="str">
        <f t="shared" ref="AV118:BE126" si="125">"х"</f>
        <v>х</v>
      </c>
      <c r="AW118" s="4" t="str">
        <f t="shared" si="125"/>
        <v>х</v>
      </c>
      <c r="AX118" s="4" t="str">
        <f t="shared" si="125"/>
        <v>х</v>
      </c>
      <c r="AY118" s="4" t="str">
        <f t="shared" si="125"/>
        <v>х</v>
      </c>
      <c r="AZ118" s="4" t="str">
        <f t="shared" si="125"/>
        <v>х</v>
      </c>
      <c r="BA118" s="4" t="str">
        <f t="shared" si="125"/>
        <v>х</v>
      </c>
      <c r="BB118" s="4" t="str">
        <f t="shared" si="125"/>
        <v>х</v>
      </c>
      <c r="BC118" s="4" t="str">
        <f t="shared" si="125"/>
        <v>х</v>
      </c>
      <c r="BD118" s="4" t="str">
        <f t="shared" si="125"/>
        <v>х</v>
      </c>
      <c r="BE118" s="4" t="str">
        <f t="shared" si="125"/>
        <v>х</v>
      </c>
      <c r="BF118" s="4" t="str">
        <f t="shared" ref="BF118:BQ126" si="126">"х"</f>
        <v>х</v>
      </c>
      <c r="BG118" s="4" t="str">
        <f t="shared" si="126"/>
        <v>х</v>
      </c>
      <c r="BH118" s="4" t="str">
        <f t="shared" si="126"/>
        <v>х</v>
      </c>
      <c r="BI118" s="4" t="str">
        <f t="shared" si="126"/>
        <v>х</v>
      </c>
      <c r="BJ118" s="4" t="str">
        <f t="shared" si="126"/>
        <v>х</v>
      </c>
      <c r="BK118" s="4" t="str">
        <f t="shared" si="126"/>
        <v>х</v>
      </c>
      <c r="BL118" s="4" t="str">
        <f t="shared" si="126"/>
        <v>х</v>
      </c>
      <c r="BM118" s="4" t="str">
        <f t="shared" si="126"/>
        <v>х</v>
      </c>
      <c r="BN118" s="4" t="str">
        <f t="shared" si="126"/>
        <v>х</v>
      </c>
      <c r="BO118" s="4" t="str">
        <f t="shared" si="126"/>
        <v>х</v>
      </c>
      <c r="BP118" s="4" t="str">
        <f t="shared" si="126"/>
        <v>х</v>
      </c>
      <c r="BQ118" s="4" t="str">
        <f t="shared" si="126"/>
        <v>х</v>
      </c>
      <c r="BR118" s="4" t="str">
        <f>"1977"</f>
        <v>1977</v>
      </c>
      <c r="BS118" s="4" t="str">
        <f>"55,00"</f>
        <v>55,00</v>
      </c>
      <c r="BT118" s="4" t="str">
        <f>"2027-2029"</f>
        <v>2027-2029</v>
      </c>
      <c r="BU118" s="4" t="str">
        <f t="shared" si="73"/>
        <v>нет</v>
      </c>
      <c r="BV118" s="4" t="str">
        <f t="shared" si="121"/>
        <v>x</v>
      </c>
      <c r="BW118" s="4" t="str">
        <f t="shared" si="121"/>
        <v>x</v>
      </c>
      <c r="BX118" s="4" t="str">
        <f t="shared" si="121"/>
        <v>x</v>
      </c>
      <c r="BY118" s="4" t="str">
        <f t="shared" si="120"/>
        <v>нет</v>
      </c>
      <c r="BZ118" s="4" t="str">
        <f t="shared" si="122"/>
        <v>x</v>
      </c>
      <c r="CA118" s="4" t="str">
        <f t="shared" si="122"/>
        <v>x</v>
      </c>
      <c r="CB118" s="4" t="str">
        <f t="shared" si="122"/>
        <v>x</v>
      </c>
      <c r="CC118" s="4" t="str">
        <f>"1977"</f>
        <v>1977</v>
      </c>
      <c r="CD118" s="4" t="str">
        <f>"45,00"</f>
        <v>45,00</v>
      </c>
      <c r="CE118" s="4" t="str">
        <f>"2027-2029"</f>
        <v>2027-2029</v>
      </c>
      <c r="CF118" s="4" t="str">
        <f>"1977"</f>
        <v>1977</v>
      </c>
      <c r="CG118" s="4" t="str">
        <f>"50,00"</f>
        <v>50,00</v>
      </c>
      <c r="CH118" s="4" t="str">
        <f>"2027-2029"</f>
        <v>2027-2029</v>
      </c>
      <c r="CI118" s="4" t="str">
        <f>"48,00"</f>
        <v>48,00</v>
      </c>
      <c r="CJ118" s="4" t="str">
        <f>"2027-2029"</f>
        <v>2027-2029</v>
      </c>
    </row>
    <row r="119" spans="1:88" ht="11.25" customHeight="1">
      <c r="A119" s="45" t="str">
        <f>"24.106"</f>
        <v>24.106</v>
      </c>
      <c r="B119" s="46" t="str">
        <f>"г. Харовск, ул.Заболотная, д.13"</f>
        <v>г. Харовск, ул.Заболотная, д.13</v>
      </c>
      <c r="C119" s="6" t="str">
        <f>"1987"</f>
        <v>1987</v>
      </c>
      <c r="D119" s="4" t="str">
        <f>"1987"</f>
        <v>1987</v>
      </c>
      <c r="E119" s="4" t="str">
        <f>"30,00"</f>
        <v>30,00</v>
      </c>
      <c r="F119" s="4" t="str">
        <f>"2032-2034"</f>
        <v>2032-2034</v>
      </c>
      <c r="G119" s="4" t="str">
        <f t="shared" si="91"/>
        <v>нет</v>
      </c>
      <c r="H119" s="4" t="str">
        <f>""</f>
        <v/>
      </c>
      <c r="I119" s="4" t="str">
        <f>""</f>
        <v/>
      </c>
      <c r="J119" s="4" t="str">
        <f>""</f>
        <v/>
      </c>
      <c r="K119" s="4" t="str">
        <f t="shared" si="72"/>
        <v>нет</v>
      </c>
      <c r="L119" s="4" t="str">
        <f>""</f>
        <v/>
      </c>
      <c r="M119" s="4" t="str">
        <f>""</f>
        <v/>
      </c>
      <c r="N119" s="4" t="str">
        <f>""</f>
        <v/>
      </c>
      <c r="O119" s="7" t="str">
        <f t="shared" si="116"/>
        <v>х</v>
      </c>
      <c r="P119" s="4" t="str">
        <f t="shared" si="116"/>
        <v>х</v>
      </c>
      <c r="Q119" s="4" t="str">
        <f t="shared" si="116"/>
        <v>х</v>
      </c>
      <c r="R119" s="4" t="str">
        <f t="shared" si="116"/>
        <v>х</v>
      </c>
      <c r="S119" s="4" t="str">
        <f t="shared" si="116"/>
        <v>х</v>
      </c>
      <c r="T119" s="4" t="str">
        <f t="shared" si="116"/>
        <v>х</v>
      </c>
      <c r="U119" s="4" t="str">
        <f t="shared" si="116"/>
        <v>х</v>
      </c>
      <c r="V119" s="4" t="str">
        <f t="shared" si="116"/>
        <v>х</v>
      </c>
      <c r="W119" s="4" t="str">
        <f t="shared" si="116"/>
        <v>х</v>
      </c>
      <c r="X119" s="4" t="str">
        <f t="shared" si="116"/>
        <v>х</v>
      </c>
      <c r="Y119" s="8" t="str">
        <f t="shared" si="116"/>
        <v>х</v>
      </c>
      <c r="Z119" s="4" t="str">
        <f t="shared" si="123"/>
        <v>х</v>
      </c>
      <c r="AA119" s="4" t="str">
        <f t="shared" si="123"/>
        <v>х</v>
      </c>
      <c r="AB119" s="4" t="str">
        <f t="shared" si="123"/>
        <v>х</v>
      </c>
      <c r="AC119" s="4" t="str">
        <f t="shared" si="123"/>
        <v>х</v>
      </c>
      <c r="AD119" s="4" t="str">
        <f t="shared" si="123"/>
        <v>х</v>
      </c>
      <c r="AE119" s="4" t="str">
        <f t="shared" si="99"/>
        <v>х</v>
      </c>
      <c r="AF119" s="4" t="str">
        <f t="shared" si="124"/>
        <v>х</v>
      </c>
      <c r="AG119" s="4" t="str">
        <f t="shared" si="124"/>
        <v>х</v>
      </c>
      <c r="AH119" s="4" t="str">
        <f t="shared" si="124"/>
        <v>х</v>
      </c>
      <c r="AI119" s="4" t="str">
        <f t="shared" si="124"/>
        <v>х</v>
      </c>
      <c r="AJ119" s="4" t="str">
        <f t="shared" si="124"/>
        <v>х</v>
      </c>
      <c r="AK119" s="7" t="str">
        <f t="shared" ref="AK119:AU119" si="127">"х"</f>
        <v>х</v>
      </c>
      <c r="AL119" s="4" t="str">
        <f t="shared" si="127"/>
        <v>х</v>
      </c>
      <c r="AM119" s="4" t="str">
        <f t="shared" si="127"/>
        <v>х</v>
      </c>
      <c r="AN119" s="4" t="str">
        <f t="shared" si="127"/>
        <v>х</v>
      </c>
      <c r="AO119" s="4" t="str">
        <f t="shared" si="127"/>
        <v>х</v>
      </c>
      <c r="AP119" s="4" t="str">
        <f t="shared" si="127"/>
        <v>х</v>
      </c>
      <c r="AQ119" s="4" t="str">
        <f t="shared" si="127"/>
        <v>х</v>
      </c>
      <c r="AR119" s="4" t="str">
        <f t="shared" si="127"/>
        <v>х</v>
      </c>
      <c r="AS119" s="4" t="str">
        <f t="shared" si="127"/>
        <v>х</v>
      </c>
      <c r="AT119" s="4" t="str">
        <f t="shared" si="127"/>
        <v>х</v>
      </c>
      <c r="AU119" s="4" t="str">
        <f t="shared" si="127"/>
        <v>х</v>
      </c>
      <c r="AV119" s="4" t="str">
        <f t="shared" si="125"/>
        <v>х</v>
      </c>
      <c r="AW119" s="4" t="str">
        <f t="shared" si="125"/>
        <v>х</v>
      </c>
      <c r="AX119" s="4" t="str">
        <f t="shared" si="125"/>
        <v>х</v>
      </c>
      <c r="AY119" s="4" t="str">
        <f t="shared" si="125"/>
        <v>х</v>
      </c>
      <c r="AZ119" s="4" t="str">
        <f t="shared" si="125"/>
        <v>х</v>
      </c>
      <c r="BA119" s="4" t="str">
        <f t="shared" si="125"/>
        <v>х</v>
      </c>
      <c r="BB119" s="4" t="str">
        <f t="shared" si="125"/>
        <v>х</v>
      </c>
      <c r="BC119" s="4" t="str">
        <f t="shared" si="125"/>
        <v>х</v>
      </c>
      <c r="BD119" s="4" t="str">
        <f t="shared" si="125"/>
        <v>х</v>
      </c>
      <c r="BE119" s="4" t="str">
        <f t="shared" si="125"/>
        <v>х</v>
      </c>
      <c r="BF119" s="4" t="str">
        <f t="shared" si="126"/>
        <v>х</v>
      </c>
      <c r="BG119" s="4" t="str">
        <f t="shared" si="126"/>
        <v>х</v>
      </c>
      <c r="BH119" s="4" t="str">
        <f t="shared" si="126"/>
        <v>х</v>
      </c>
      <c r="BI119" s="4" t="str">
        <f t="shared" si="126"/>
        <v>х</v>
      </c>
      <c r="BJ119" s="4" t="str">
        <f t="shared" si="126"/>
        <v>х</v>
      </c>
      <c r="BK119" s="4" t="str">
        <f t="shared" si="126"/>
        <v>х</v>
      </c>
      <c r="BL119" s="4" t="str">
        <f t="shared" si="126"/>
        <v>х</v>
      </c>
      <c r="BM119" s="4" t="str">
        <f t="shared" si="126"/>
        <v>х</v>
      </c>
      <c r="BN119" s="4" t="str">
        <f t="shared" si="126"/>
        <v>х</v>
      </c>
      <c r="BO119" s="4" t="str">
        <f t="shared" si="126"/>
        <v>х</v>
      </c>
      <c r="BP119" s="4" t="str">
        <f t="shared" si="126"/>
        <v>х</v>
      </c>
      <c r="BQ119" s="4" t="str">
        <f t="shared" si="126"/>
        <v>х</v>
      </c>
      <c r="BR119" s="4" t="str">
        <f>"1987"</f>
        <v>1987</v>
      </c>
      <c r="BS119" s="4" t="str">
        <f>"25,00"</f>
        <v>25,00</v>
      </c>
      <c r="BT119" s="4" t="str">
        <f>"2032-2034"</f>
        <v>2032-2034</v>
      </c>
      <c r="BU119" s="4" t="str">
        <f t="shared" si="73"/>
        <v>нет</v>
      </c>
      <c r="BV119" s="4" t="str">
        <f t="shared" si="121"/>
        <v>x</v>
      </c>
      <c r="BW119" s="4" t="str">
        <f t="shared" si="121"/>
        <v>x</v>
      </c>
      <c r="BX119" s="4" t="str">
        <f t="shared" si="121"/>
        <v>x</v>
      </c>
      <c r="BY119" s="4" t="str">
        <f t="shared" si="120"/>
        <v>нет</v>
      </c>
      <c r="BZ119" s="4" t="str">
        <f t="shared" si="122"/>
        <v>x</v>
      </c>
      <c r="CA119" s="4" t="str">
        <f t="shared" si="122"/>
        <v>x</v>
      </c>
      <c r="CB119" s="4" t="str">
        <f t="shared" si="122"/>
        <v>x</v>
      </c>
      <c r="CC119" s="4" t="str">
        <f>"1987"</f>
        <v>1987</v>
      </c>
      <c r="CD119" s="4" t="str">
        <f>"30,00"</f>
        <v>30,00</v>
      </c>
      <c r="CE119" s="4" t="str">
        <f>"2032-2034"</f>
        <v>2032-2034</v>
      </c>
      <c r="CF119" s="4" t="str">
        <f>"1987"</f>
        <v>1987</v>
      </c>
      <c r="CG119" s="4" t="str">
        <f>"15,00"</f>
        <v>15,00</v>
      </c>
      <c r="CH119" s="4" t="str">
        <f>"2032-2034"</f>
        <v>2032-2034</v>
      </c>
      <c r="CI119" s="4" t="str">
        <f>"28,00"</f>
        <v>28,00</v>
      </c>
      <c r="CJ119" s="4" t="str">
        <f>"2032-2034"</f>
        <v>2032-2034</v>
      </c>
    </row>
    <row r="120" spans="1:88" ht="11.25" customHeight="1">
      <c r="A120" s="45" t="str">
        <f>"24.107"</f>
        <v>24.107</v>
      </c>
      <c r="B120" s="46" t="str">
        <f>"г. Харовск, ул.Заболотная, д.3"</f>
        <v>г. Харовск, ул.Заболотная, д.3</v>
      </c>
      <c r="C120" s="6" t="str">
        <f>"1970"</f>
        <v>1970</v>
      </c>
      <c r="D120" s="4" t="str">
        <f>"1970"</f>
        <v>1970</v>
      </c>
      <c r="E120" s="4" t="str">
        <f>"40,00"</f>
        <v>40,00</v>
      </c>
      <c r="F120" s="4" t="str">
        <f>"2024-2026"</f>
        <v>2024-2026</v>
      </c>
      <c r="G120" s="4" t="str">
        <f t="shared" si="91"/>
        <v>нет</v>
      </c>
      <c r="H120" s="4" t="str">
        <f>""</f>
        <v/>
      </c>
      <c r="I120" s="4" t="str">
        <f>""</f>
        <v/>
      </c>
      <c r="J120" s="4" t="str">
        <f>""</f>
        <v/>
      </c>
      <c r="K120" s="4" t="str">
        <f t="shared" si="72"/>
        <v>нет</v>
      </c>
      <c r="L120" s="4" t="str">
        <f>""</f>
        <v/>
      </c>
      <c r="M120" s="4" t="str">
        <f>""</f>
        <v/>
      </c>
      <c r="N120" s="4" t="str">
        <f>""</f>
        <v/>
      </c>
      <c r="O120" s="7" t="str">
        <f t="shared" ref="O120:Y126" si="128">"х"</f>
        <v>х</v>
      </c>
      <c r="P120" s="4" t="str">
        <f t="shared" si="128"/>
        <v>х</v>
      </c>
      <c r="Q120" s="4" t="str">
        <f t="shared" si="128"/>
        <v>х</v>
      </c>
      <c r="R120" s="4" t="str">
        <f t="shared" si="128"/>
        <v>х</v>
      </c>
      <c r="S120" s="4" t="str">
        <f t="shared" si="128"/>
        <v>х</v>
      </c>
      <c r="T120" s="4" t="str">
        <f t="shared" si="128"/>
        <v>х</v>
      </c>
      <c r="U120" s="4" t="str">
        <f t="shared" si="128"/>
        <v>х</v>
      </c>
      <c r="V120" s="4" t="str">
        <f t="shared" si="128"/>
        <v>х</v>
      </c>
      <c r="W120" s="4" t="str">
        <f t="shared" si="128"/>
        <v>х</v>
      </c>
      <c r="X120" s="4" t="str">
        <f t="shared" si="128"/>
        <v>х</v>
      </c>
      <c r="Y120" s="8" t="str">
        <f t="shared" si="128"/>
        <v>х</v>
      </c>
      <c r="Z120" s="4" t="str">
        <f t="shared" si="123"/>
        <v>х</v>
      </c>
      <c r="AA120" s="4" t="str">
        <f t="shared" si="123"/>
        <v>х</v>
      </c>
      <c r="AB120" s="4" t="str">
        <f t="shared" si="123"/>
        <v>х</v>
      </c>
      <c r="AC120" s="4" t="str">
        <f t="shared" si="123"/>
        <v>х</v>
      </c>
      <c r="AD120" s="4" t="str">
        <f t="shared" si="123"/>
        <v>х</v>
      </c>
      <c r="AE120" s="4" t="str">
        <f t="shared" si="99"/>
        <v>х</v>
      </c>
      <c r="AF120" s="4" t="str">
        <f t="shared" si="124"/>
        <v>х</v>
      </c>
      <c r="AG120" s="4" t="str">
        <f t="shared" si="124"/>
        <v>х</v>
      </c>
      <c r="AH120" s="4" t="str">
        <f t="shared" si="124"/>
        <v>х</v>
      </c>
      <c r="AI120" s="4" t="str">
        <f t="shared" si="124"/>
        <v>х</v>
      </c>
      <c r="AJ120" s="4" t="str">
        <f t="shared" si="124"/>
        <v>х</v>
      </c>
      <c r="AK120" s="7" t="str">
        <f>"1970"</f>
        <v>1970</v>
      </c>
      <c r="AL120" s="4" t="str">
        <f>"40,00"</f>
        <v>40,00</v>
      </c>
      <c r="AM120" s="4" t="str">
        <f>"2024-2026"</f>
        <v>2024-2026</v>
      </c>
      <c r="AN120" s="4" t="str">
        <f>"нет"</f>
        <v>нет</v>
      </c>
      <c r="AO120" s="4" t="str">
        <f>""</f>
        <v/>
      </c>
      <c r="AP120" s="4" t="str">
        <f>""</f>
        <v/>
      </c>
      <c r="AQ120" s="4" t="str">
        <f>""</f>
        <v/>
      </c>
      <c r="AR120" s="4" t="str">
        <f>"нет"</f>
        <v>нет</v>
      </c>
      <c r="AS120" s="4" t="str">
        <f>""</f>
        <v/>
      </c>
      <c r="AT120" s="4" t="str">
        <f>""</f>
        <v/>
      </c>
      <c r="AU120" s="4" t="str">
        <f>""</f>
        <v/>
      </c>
      <c r="AV120" s="4" t="str">
        <f t="shared" si="125"/>
        <v>х</v>
      </c>
      <c r="AW120" s="4" t="str">
        <f t="shared" si="125"/>
        <v>х</v>
      </c>
      <c r="AX120" s="4" t="str">
        <f t="shared" si="125"/>
        <v>х</v>
      </c>
      <c r="AY120" s="4" t="str">
        <f t="shared" si="125"/>
        <v>х</v>
      </c>
      <c r="AZ120" s="4" t="str">
        <f t="shared" si="125"/>
        <v>х</v>
      </c>
      <c r="BA120" s="4" t="str">
        <f t="shared" si="125"/>
        <v>х</v>
      </c>
      <c r="BB120" s="4" t="str">
        <f t="shared" si="125"/>
        <v>х</v>
      </c>
      <c r="BC120" s="4" t="str">
        <f t="shared" si="125"/>
        <v>х</v>
      </c>
      <c r="BD120" s="4" t="str">
        <f t="shared" si="125"/>
        <v>х</v>
      </c>
      <c r="BE120" s="4" t="str">
        <f t="shared" si="125"/>
        <v>х</v>
      </c>
      <c r="BF120" s="4" t="str">
        <f t="shared" si="126"/>
        <v>х</v>
      </c>
      <c r="BG120" s="4" t="str">
        <f t="shared" si="126"/>
        <v>х</v>
      </c>
      <c r="BH120" s="4" t="str">
        <f t="shared" si="126"/>
        <v>х</v>
      </c>
      <c r="BI120" s="4" t="str">
        <f t="shared" si="126"/>
        <v>х</v>
      </c>
      <c r="BJ120" s="4" t="str">
        <f t="shared" si="126"/>
        <v>х</v>
      </c>
      <c r="BK120" s="4" t="str">
        <f t="shared" si="126"/>
        <v>х</v>
      </c>
      <c r="BL120" s="4" t="str">
        <f t="shared" si="126"/>
        <v>х</v>
      </c>
      <c r="BM120" s="4" t="str">
        <f t="shared" si="126"/>
        <v>х</v>
      </c>
      <c r="BN120" s="4" t="str">
        <f t="shared" si="126"/>
        <v>х</v>
      </c>
      <c r="BO120" s="4" t="str">
        <f t="shared" si="126"/>
        <v>х</v>
      </c>
      <c r="BP120" s="4" t="str">
        <f t="shared" si="126"/>
        <v>х</v>
      </c>
      <c r="BQ120" s="4" t="str">
        <f t="shared" si="126"/>
        <v>х</v>
      </c>
      <c r="BR120" s="4" t="str">
        <f>"1970"</f>
        <v>1970</v>
      </c>
      <c r="BS120" s="4" t="str">
        <f>"60,00"</f>
        <v>60,00</v>
      </c>
      <c r="BT120" s="4" t="str">
        <f>"2024-2026"</f>
        <v>2024-2026</v>
      </c>
      <c r="BU120" s="4" t="str">
        <f t="shared" si="73"/>
        <v>нет</v>
      </c>
      <c r="BV120" s="4" t="str">
        <f t="shared" si="121"/>
        <v>x</v>
      </c>
      <c r="BW120" s="4" t="str">
        <f t="shared" si="121"/>
        <v>x</v>
      </c>
      <c r="BX120" s="4" t="str">
        <f t="shared" si="121"/>
        <v>x</v>
      </c>
      <c r="BY120" s="4" t="str">
        <f t="shared" si="120"/>
        <v>нет</v>
      </c>
      <c r="BZ120" s="4" t="str">
        <f t="shared" si="122"/>
        <v>x</v>
      </c>
      <c r="CA120" s="4" t="str">
        <f t="shared" si="122"/>
        <v>x</v>
      </c>
      <c r="CB120" s="4" t="str">
        <f t="shared" si="122"/>
        <v>x</v>
      </c>
      <c r="CC120" s="4" t="str">
        <f>"1970"</f>
        <v>1970</v>
      </c>
      <c r="CD120" s="4" t="str">
        <f>"45,00"</f>
        <v>45,00</v>
      </c>
      <c r="CE120" s="4" t="str">
        <f>"2024-2026"</f>
        <v>2024-2026</v>
      </c>
      <c r="CF120" s="4" t="str">
        <f>"1970"</f>
        <v>1970</v>
      </c>
      <c r="CG120" s="4" t="str">
        <f>"50,00"</f>
        <v>50,00</v>
      </c>
      <c r="CH120" s="4" t="str">
        <f>"2024-2026"</f>
        <v>2024-2026</v>
      </c>
      <c r="CI120" s="4" t="str">
        <f>"54,00"</f>
        <v>54,00</v>
      </c>
      <c r="CJ120" s="4" t="str">
        <f>"2024-2026"</f>
        <v>2024-2026</v>
      </c>
    </row>
    <row r="121" spans="1:88" ht="11.25" customHeight="1">
      <c r="A121" s="45" t="str">
        <f>"24.108"</f>
        <v>24.108</v>
      </c>
      <c r="B121" s="46" t="str">
        <f>"г. Харовск, ул.Заболотная, д.5"</f>
        <v>г. Харовск, ул.Заболотная, д.5</v>
      </c>
      <c r="C121" s="6" t="str">
        <f>"1972"</f>
        <v>1972</v>
      </c>
      <c r="D121" s="4" t="str">
        <f>"1972"</f>
        <v>1972</v>
      </c>
      <c r="E121" s="4" t="str">
        <f>"50,00"</f>
        <v>50,00</v>
      </c>
      <c r="F121" s="4" t="str">
        <f>"2025-2027"</f>
        <v>2025-2027</v>
      </c>
      <c r="G121" s="4" t="str">
        <f t="shared" si="91"/>
        <v>нет</v>
      </c>
      <c r="H121" s="4" t="str">
        <f>""</f>
        <v/>
      </c>
      <c r="I121" s="4" t="str">
        <f>""</f>
        <v/>
      </c>
      <c r="J121" s="4" t="str">
        <f>""</f>
        <v/>
      </c>
      <c r="K121" s="4" t="str">
        <f t="shared" si="72"/>
        <v>нет</v>
      </c>
      <c r="L121" s="4" t="str">
        <f>""</f>
        <v/>
      </c>
      <c r="M121" s="4" t="str">
        <f>""</f>
        <v/>
      </c>
      <c r="N121" s="4" t="str">
        <f>""</f>
        <v/>
      </c>
      <c r="O121" s="7" t="str">
        <f t="shared" si="128"/>
        <v>х</v>
      </c>
      <c r="P121" s="4" t="str">
        <f t="shared" si="128"/>
        <v>х</v>
      </c>
      <c r="Q121" s="4" t="str">
        <f t="shared" si="128"/>
        <v>х</v>
      </c>
      <c r="R121" s="4" t="str">
        <f t="shared" si="128"/>
        <v>х</v>
      </c>
      <c r="S121" s="4" t="str">
        <f t="shared" si="128"/>
        <v>х</v>
      </c>
      <c r="T121" s="4" t="str">
        <f t="shared" si="128"/>
        <v>х</v>
      </c>
      <c r="U121" s="4" t="str">
        <f t="shared" si="128"/>
        <v>х</v>
      </c>
      <c r="V121" s="4" t="str">
        <f t="shared" si="128"/>
        <v>х</v>
      </c>
      <c r="W121" s="4" t="str">
        <f t="shared" si="128"/>
        <v>х</v>
      </c>
      <c r="X121" s="4" t="str">
        <f t="shared" si="128"/>
        <v>х</v>
      </c>
      <c r="Y121" s="8" t="str">
        <f t="shared" si="128"/>
        <v>х</v>
      </c>
      <c r="Z121" s="4" t="str">
        <f t="shared" si="123"/>
        <v>х</v>
      </c>
      <c r="AA121" s="4" t="str">
        <f t="shared" si="123"/>
        <v>х</v>
      </c>
      <c r="AB121" s="4" t="str">
        <f t="shared" si="123"/>
        <v>х</v>
      </c>
      <c r="AC121" s="4" t="str">
        <f t="shared" si="123"/>
        <v>х</v>
      </c>
      <c r="AD121" s="4" t="str">
        <f t="shared" si="123"/>
        <v>х</v>
      </c>
      <c r="AE121" s="4" t="str">
        <f t="shared" si="99"/>
        <v>х</v>
      </c>
      <c r="AF121" s="4" t="str">
        <f t="shared" si="124"/>
        <v>х</v>
      </c>
      <c r="AG121" s="4" t="str">
        <f t="shared" si="124"/>
        <v>х</v>
      </c>
      <c r="AH121" s="4" t="str">
        <f t="shared" si="124"/>
        <v>х</v>
      </c>
      <c r="AI121" s="4" t="str">
        <f t="shared" si="124"/>
        <v>х</v>
      </c>
      <c r="AJ121" s="4" t="str">
        <f t="shared" si="124"/>
        <v>х</v>
      </c>
      <c r="AK121" s="7" t="str">
        <f>"1972"</f>
        <v>1972</v>
      </c>
      <c r="AL121" s="4" t="str">
        <f>"50,00"</f>
        <v>50,00</v>
      </c>
      <c r="AM121" s="4" t="str">
        <f>"2025-2027"</f>
        <v>2025-2027</v>
      </c>
      <c r="AN121" s="4" t="str">
        <f>"нет"</f>
        <v>нет</v>
      </c>
      <c r="AO121" s="4" t="str">
        <f>""</f>
        <v/>
      </c>
      <c r="AP121" s="4" t="str">
        <f>""</f>
        <v/>
      </c>
      <c r="AQ121" s="4" t="str">
        <f>""</f>
        <v/>
      </c>
      <c r="AR121" s="4" t="str">
        <f>"нет"</f>
        <v>нет</v>
      </c>
      <c r="AS121" s="4" t="str">
        <f>""</f>
        <v/>
      </c>
      <c r="AT121" s="4" t="str">
        <f>""</f>
        <v/>
      </c>
      <c r="AU121" s="4" t="str">
        <f>""</f>
        <v/>
      </c>
      <c r="AV121" s="4" t="str">
        <f t="shared" si="125"/>
        <v>х</v>
      </c>
      <c r="AW121" s="4" t="str">
        <f t="shared" si="125"/>
        <v>х</v>
      </c>
      <c r="AX121" s="4" t="str">
        <f t="shared" si="125"/>
        <v>х</v>
      </c>
      <c r="AY121" s="4" t="str">
        <f t="shared" si="125"/>
        <v>х</v>
      </c>
      <c r="AZ121" s="4" t="str">
        <f t="shared" si="125"/>
        <v>х</v>
      </c>
      <c r="BA121" s="4" t="str">
        <f t="shared" si="125"/>
        <v>х</v>
      </c>
      <c r="BB121" s="4" t="str">
        <f t="shared" si="125"/>
        <v>х</v>
      </c>
      <c r="BC121" s="4" t="str">
        <f t="shared" si="125"/>
        <v>х</v>
      </c>
      <c r="BD121" s="4" t="str">
        <f t="shared" si="125"/>
        <v>х</v>
      </c>
      <c r="BE121" s="4" t="str">
        <f t="shared" si="125"/>
        <v>х</v>
      </c>
      <c r="BF121" s="4" t="str">
        <f t="shared" si="126"/>
        <v>х</v>
      </c>
      <c r="BG121" s="4" t="str">
        <f t="shared" si="126"/>
        <v>х</v>
      </c>
      <c r="BH121" s="4" t="str">
        <f t="shared" si="126"/>
        <v>х</v>
      </c>
      <c r="BI121" s="4" t="str">
        <f t="shared" si="126"/>
        <v>х</v>
      </c>
      <c r="BJ121" s="4" t="str">
        <f t="shared" si="126"/>
        <v>х</v>
      </c>
      <c r="BK121" s="4" t="str">
        <f t="shared" si="126"/>
        <v>х</v>
      </c>
      <c r="BL121" s="4" t="str">
        <f t="shared" si="126"/>
        <v>х</v>
      </c>
      <c r="BM121" s="4" t="str">
        <f t="shared" si="126"/>
        <v>х</v>
      </c>
      <c r="BN121" s="4" t="str">
        <f t="shared" si="126"/>
        <v>х</v>
      </c>
      <c r="BO121" s="4" t="str">
        <f t="shared" si="126"/>
        <v>х</v>
      </c>
      <c r="BP121" s="4" t="str">
        <f t="shared" si="126"/>
        <v>х</v>
      </c>
      <c r="BQ121" s="4" t="str">
        <f t="shared" si="126"/>
        <v>х</v>
      </c>
      <c r="BR121" s="4" t="str">
        <f>"1972"</f>
        <v>1972</v>
      </c>
      <c r="BS121" s="4" t="str">
        <f>"55,00"</f>
        <v>55,00</v>
      </c>
      <c r="BT121" s="4" t="str">
        <f>"2025-2027"</f>
        <v>2025-2027</v>
      </c>
      <c r="BU121" s="4" t="str">
        <f t="shared" si="73"/>
        <v>нет</v>
      </c>
      <c r="BV121" s="4" t="str">
        <f t="shared" si="121"/>
        <v>x</v>
      </c>
      <c r="BW121" s="4" t="str">
        <f t="shared" si="121"/>
        <v>x</v>
      </c>
      <c r="BX121" s="4" t="str">
        <f t="shared" si="121"/>
        <v>x</v>
      </c>
      <c r="BY121" s="4" t="str">
        <f t="shared" si="120"/>
        <v>нет</v>
      </c>
      <c r="BZ121" s="4" t="str">
        <f t="shared" si="122"/>
        <v>x</v>
      </c>
      <c r="CA121" s="4" t="str">
        <f t="shared" si="122"/>
        <v>x</v>
      </c>
      <c r="CB121" s="4" t="str">
        <f t="shared" si="122"/>
        <v>x</v>
      </c>
      <c r="CC121" s="4" t="str">
        <f>"1972"</f>
        <v>1972</v>
      </c>
      <c r="CD121" s="4" t="str">
        <f>"45,00"</f>
        <v>45,00</v>
      </c>
      <c r="CE121" s="4" t="str">
        <f>"2025-2027"</f>
        <v>2025-2027</v>
      </c>
      <c r="CF121" s="4" t="str">
        <f>"1972"</f>
        <v>1972</v>
      </c>
      <c r="CG121" s="4" t="str">
        <f>"45,00"</f>
        <v>45,00</v>
      </c>
      <c r="CH121" s="4" t="str">
        <f>"2025-2027"</f>
        <v>2025-2027</v>
      </c>
      <c r="CI121" s="4" t="str">
        <f>"49,00"</f>
        <v>49,00</v>
      </c>
      <c r="CJ121" s="4" t="str">
        <f>"2025-2027"</f>
        <v>2025-2027</v>
      </c>
    </row>
    <row r="122" spans="1:88" ht="11.25" customHeight="1">
      <c r="A122" s="45" t="str">
        <f>"24.109"</f>
        <v>24.109</v>
      </c>
      <c r="B122" s="46" t="str">
        <f>"г. Харовск, ул.Заболотная, д.7"</f>
        <v>г. Харовск, ул.Заболотная, д.7</v>
      </c>
      <c r="C122" s="6" t="str">
        <f>"1972"</f>
        <v>1972</v>
      </c>
      <c r="D122" s="4" t="str">
        <f>"1972"</f>
        <v>1972</v>
      </c>
      <c r="E122" s="4" t="str">
        <f>"50,00"</f>
        <v>50,00</v>
      </c>
      <c r="F122" s="4" t="str">
        <f>"2025-2027"</f>
        <v>2025-2027</v>
      </c>
      <c r="G122" s="4" t="str">
        <f t="shared" si="91"/>
        <v>нет</v>
      </c>
      <c r="H122" s="4" t="str">
        <f>""</f>
        <v/>
      </c>
      <c r="I122" s="4" t="str">
        <f>""</f>
        <v/>
      </c>
      <c r="J122" s="4" t="str">
        <f>""</f>
        <v/>
      </c>
      <c r="K122" s="4" t="str">
        <f t="shared" si="72"/>
        <v>нет</v>
      </c>
      <c r="L122" s="4" t="str">
        <f>""</f>
        <v/>
      </c>
      <c r="M122" s="4" t="str">
        <f>""</f>
        <v/>
      </c>
      <c r="N122" s="4" t="str">
        <f>""</f>
        <v/>
      </c>
      <c r="O122" s="7" t="str">
        <f t="shared" si="128"/>
        <v>х</v>
      </c>
      <c r="P122" s="4" t="str">
        <f t="shared" si="128"/>
        <v>х</v>
      </c>
      <c r="Q122" s="4" t="str">
        <f t="shared" si="128"/>
        <v>х</v>
      </c>
      <c r="R122" s="4" t="str">
        <f t="shared" si="128"/>
        <v>х</v>
      </c>
      <c r="S122" s="4" t="str">
        <f t="shared" si="128"/>
        <v>х</v>
      </c>
      <c r="T122" s="4" t="str">
        <f t="shared" si="128"/>
        <v>х</v>
      </c>
      <c r="U122" s="4" t="str">
        <f t="shared" si="128"/>
        <v>х</v>
      </c>
      <c r="V122" s="4" t="str">
        <f t="shared" si="128"/>
        <v>х</v>
      </c>
      <c r="W122" s="4" t="str">
        <f t="shared" si="128"/>
        <v>х</v>
      </c>
      <c r="X122" s="4" t="str">
        <f t="shared" si="128"/>
        <v>х</v>
      </c>
      <c r="Y122" s="8" t="str">
        <f t="shared" si="128"/>
        <v>х</v>
      </c>
      <c r="Z122" s="4" t="str">
        <f t="shared" si="123"/>
        <v>х</v>
      </c>
      <c r="AA122" s="4" t="str">
        <f t="shared" si="123"/>
        <v>х</v>
      </c>
      <c r="AB122" s="4" t="str">
        <f t="shared" si="123"/>
        <v>х</v>
      </c>
      <c r="AC122" s="4" t="str">
        <f t="shared" si="123"/>
        <v>х</v>
      </c>
      <c r="AD122" s="4" t="str">
        <f t="shared" si="123"/>
        <v>х</v>
      </c>
      <c r="AE122" s="4" t="str">
        <f t="shared" si="99"/>
        <v>х</v>
      </c>
      <c r="AF122" s="4" t="str">
        <f t="shared" si="124"/>
        <v>х</v>
      </c>
      <c r="AG122" s="4" t="str">
        <f t="shared" si="124"/>
        <v>х</v>
      </c>
      <c r="AH122" s="4" t="str">
        <f t="shared" si="124"/>
        <v>х</v>
      </c>
      <c r="AI122" s="4" t="str">
        <f t="shared" si="124"/>
        <v>х</v>
      </c>
      <c r="AJ122" s="4" t="str">
        <f t="shared" si="124"/>
        <v>х</v>
      </c>
      <c r="AK122" s="7" t="str">
        <f>"1972"</f>
        <v>1972</v>
      </c>
      <c r="AL122" s="4" t="str">
        <f>"50,00"</f>
        <v>50,00</v>
      </c>
      <c r="AM122" s="4" t="str">
        <f>"2025-2027"</f>
        <v>2025-2027</v>
      </c>
      <c r="AN122" s="4" t="str">
        <f>"нет"</f>
        <v>нет</v>
      </c>
      <c r="AO122" s="4" t="str">
        <f>""</f>
        <v/>
      </c>
      <c r="AP122" s="4" t="str">
        <f>""</f>
        <v/>
      </c>
      <c r="AQ122" s="4" t="str">
        <f>""</f>
        <v/>
      </c>
      <c r="AR122" s="4" t="str">
        <f>"нет"</f>
        <v>нет</v>
      </c>
      <c r="AS122" s="4" t="str">
        <f>""</f>
        <v/>
      </c>
      <c r="AT122" s="4" t="str">
        <f>""</f>
        <v/>
      </c>
      <c r="AU122" s="4" t="str">
        <f>""</f>
        <v/>
      </c>
      <c r="AV122" s="4" t="str">
        <f t="shared" si="125"/>
        <v>х</v>
      </c>
      <c r="AW122" s="4" t="str">
        <f t="shared" si="125"/>
        <v>х</v>
      </c>
      <c r="AX122" s="4" t="str">
        <f t="shared" si="125"/>
        <v>х</v>
      </c>
      <c r="AY122" s="4" t="str">
        <f t="shared" si="125"/>
        <v>х</v>
      </c>
      <c r="AZ122" s="4" t="str">
        <f t="shared" si="125"/>
        <v>х</v>
      </c>
      <c r="BA122" s="4" t="str">
        <f t="shared" si="125"/>
        <v>х</v>
      </c>
      <c r="BB122" s="4" t="str">
        <f t="shared" si="125"/>
        <v>х</v>
      </c>
      <c r="BC122" s="4" t="str">
        <f t="shared" si="125"/>
        <v>х</v>
      </c>
      <c r="BD122" s="4" t="str">
        <f t="shared" si="125"/>
        <v>х</v>
      </c>
      <c r="BE122" s="4" t="str">
        <f t="shared" si="125"/>
        <v>х</v>
      </c>
      <c r="BF122" s="4" t="str">
        <f t="shared" si="126"/>
        <v>х</v>
      </c>
      <c r="BG122" s="4" t="str">
        <f t="shared" si="126"/>
        <v>х</v>
      </c>
      <c r="BH122" s="4" t="str">
        <f t="shared" si="126"/>
        <v>х</v>
      </c>
      <c r="BI122" s="4" t="str">
        <f t="shared" si="126"/>
        <v>х</v>
      </c>
      <c r="BJ122" s="4" t="str">
        <f t="shared" si="126"/>
        <v>х</v>
      </c>
      <c r="BK122" s="4" t="str">
        <f t="shared" si="126"/>
        <v>х</v>
      </c>
      <c r="BL122" s="4" t="str">
        <f t="shared" si="126"/>
        <v>х</v>
      </c>
      <c r="BM122" s="4" t="str">
        <f t="shared" si="126"/>
        <v>х</v>
      </c>
      <c r="BN122" s="4" t="str">
        <f t="shared" si="126"/>
        <v>х</v>
      </c>
      <c r="BO122" s="4" t="str">
        <f t="shared" si="126"/>
        <v>х</v>
      </c>
      <c r="BP122" s="4" t="str">
        <f t="shared" si="126"/>
        <v>х</v>
      </c>
      <c r="BQ122" s="4" t="str">
        <f t="shared" si="126"/>
        <v>х</v>
      </c>
      <c r="BR122" s="4" t="str">
        <f>"1972"</f>
        <v>1972</v>
      </c>
      <c r="BS122" s="4" t="str">
        <f>"55,00"</f>
        <v>55,00</v>
      </c>
      <c r="BT122" s="4" t="str">
        <f>"2025-2027"</f>
        <v>2025-2027</v>
      </c>
      <c r="BU122" s="4" t="str">
        <f t="shared" si="73"/>
        <v>нет</v>
      </c>
      <c r="BV122" s="4" t="str">
        <f t="shared" si="121"/>
        <v>x</v>
      </c>
      <c r="BW122" s="4" t="str">
        <f t="shared" si="121"/>
        <v>x</v>
      </c>
      <c r="BX122" s="4" t="str">
        <f t="shared" si="121"/>
        <v>x</v>
      </c>
      <c r="BY122" s="4" t="str">
        <f t="shared" si="120"/>
        <v>нет</v>
      </c>
      <c r="BZ122" s="4" t="str">
        <f t="shared" si="122"/>
        <v>x</v>
      </c>
      <c r="CA122" s="4" t="str">
        <f t="shared" si="122"/>
        <v>x</v>
      </c>
      <c r="CB122" s="4" t="str">
        <f t="shared" si="122"/>
        <v>x</v>
      </c>
      <c r="CC122" s="4" t="str">
        <f>"1972"</f>
        <v>1972</v>
      </c>
      <c r="CD122" s="4" t="str">
        <f>"45,00"</f>
        <v>45,00</v>
      </c>
      <c r="CE122" s="4" t="str">
        <f>"2025-2027"</f>
        <v>2025-2027</v>
      </c>
      <c r="CF122" s="4" t="str">
        <f>"1972"</f>
        <v>1972</v>
      </c>
      <c r="CG122" s="4" t="str">
        <f>"50,00"</f>
        <v>50,00</v>
      </c>
      <c r="CH122" s="4" t="str">
        <f>"2025-2027"</f>
        <v>2025-2027</v>
      </c>
      <c r="CI122" s="4" t="str">
        <f>"48,00"</f>
        <v>48,00</v>
      </c>
      <c r="CJ122" s="4" t="str">
        <f>"2025-2027"</f>
        <v>2025-2027</v>
      </c>
    </row>
    <row r="123" spans="1:88" ht="11.25" customHeight="1">
      <c r="A123" s="45" t="str">
        <f>"24.110"</f>
        <v>24.110</v>
      </c>
      <c r="B123" s="46" t="str">
        <f>"г. Харовск, ул.Заболотная, д.9"</f>
        <v>г. Харовск, ул.Заболотная, д.9</v>
      </c>
      <c r="C123" s="6" t="str">
        <f>"1975"</f>
        <v>1975</v>
      </c>
      <c r="D123" s="4" t="str">
        <f>"1975"</f>
        <v>1975</v>
      </c>
      <c r="E123" s="4" t="str">
        <f>"50,00"</f>
        <v>50,00</v>
      </c>
      <c r="F123" s="4" t="str">
        <f>"2026-2028"</f>
        <v>2026-2028</v>
      </c>
      <c r="G123" s="4" t="str">
        <f t="shared" si="91"/>
        <v>нет</v>
      </c>
      <c r="H123" s="4" t="str">
        <f>""</f>
        <v/>
      </c>
      <c r="I123" s="4" t="str">
        <f>""</f>
        <v/>
      </c>
      <c r="J123" s="4" t="str">
        <f>""</f>
        <v/>
      </c>
      <c r="K123" s="4" t="str">
        <f t="shared" si="72"/>
        <v>нет</v>
      </c>
      <c r="L123" s="4" t="str">
        <f>""</f>
        <v/>
      </c>
      <c r="M123" s="4" t="str">
        <f>""</f>
        <v/>
      </c>
      <c r="N123" s="4" t="str">
        <f>""</f>
        <v/>
      </c>
      <c r="O123" s="7" t="str">
        <f t="shared" si="128"/>
        <v>х</v>
      </c>
      <c r="P123" s="4" t="str">
        <f t="shared" si="128"/>
        <v>х</v>
      </c>
      <c r="Q123" s="4" t="str">
        <f t="shared" si="128"/>
        <v>х</v>
      </c>
      <c r="R123" s="4" t="str">
        <f t="shared" si="128"/>
        <v>х</v>
      </c>
      <c r="S123" s="4" t="str">
        <f t="shared" si="128"/>
        <v>х</v>
      </c>
      <c r="T123" s="4" t="str">
        <f t="shared" si="128"/>
        <v>х</v>
      </c>
      <c r="U123" s="4" t="str">
        <f t="shared" si="128"/>
        <v>х</v>
      </c>
      <c r="V123" s="4" t="str">
        <f t="shared" si="128"/>
        <v>х</v>
      </c>
      <c r="W123" s="4" t="str">
        <f t="shared" si="128"/>
        <v>х</v>
      </c>
      <c r="X123" s="4" t="str">
        <f t="shared" si="128"/>
        <v>х</v>
      </c>
      <c r="Y123" s="8" t="str">
        <f t="shared" si="128"/>
        <v>х</v>
      </c>
      <c r="Z123" s="4" t="str">
        <f t="shared" si="123"/>
        <v>х</v>
      </c>
      <c r="AA123" s="4" t="str">
        <f t="shared" si="123"/>
        <v>х</v>
      </c>
      <c r="AB123" s="4" t="str">
        <f t="shared" si="123"/>
        <v>х</v>
      </c>
      <c r="AC123" s="4" t="str">
        <f t="shared" si="123"/>
        <v>х</v>
      </c>
      <c r="AD123" s="4" t="str">
        <f t="shared" si="123"/>
        <v>х</v>
      </c>
      <c r="AE123" s="4" t="str">
        <f t="shared" si="99"/>
        <v>х</v>
      </c>
      <c r="AF123" s="4" t="str">
        <f t="shared" si="124"/>
        <v>х</v>
      </c>
      <c r="AG123" s="4" t="str">
        <f t="shared" si="124"/>
        <v>х</v>
      </c>
      <c r="AH123" s="4" t="str">
        <f t="shared" si="124"/>
        <v>х</v>
      </c>
      <c r="AI123" s="4" t="str">
        <f t="shared" si="124"/>
        <v>х</v>
      </c>
      <c r="AJ123" s="4" t="str">
        <f t="shared" si="124"/>
        <v>х</v>
      </c>
      <c r="AK123" s="7" t="str">
        <f>"1975"</f>
        <v>1975</v>
      </c>
      <c r="AL123" s="4" t="str">
        <f>"50,00"</f>
        <v>50,00</v>
      </c>
      <c r="AM123" s="4" t="str">
        <f>"2026-2028"</f>
        <v>2026-2028</v>
      </c>
      <c r="AN123" s="4" t="str">
        <f>"нет"</f>
        <v>нет</v>
      </c>
      <c r="AO123" s="4" t="str">
        <f>""</f>
        <v/>
      </c>
      <c r="AP123" s="4" t="str">
        <f>""</f>
        <v/>
      </c>
      <c r="AQ123" s="4" t="str">
        <f>""</f>
        <v/>
      </c>
      <c r="AR123" s="4" t="str">
        <f>"нет"</f>
        <v>нет</v>
      </c>
      <c r="AS123" s="4" t="str">
        <f>""</f>
        <v/>
      </c>
      <c r="AT123" s="4" t="str">
        <f>""</f>
        <v/>
      </c>
      <c r="AU123" s="4" t="str">
        <f>""</f>
        <v/>
      </c>
      <c r="AV123" s="4" t="str">
        <f t="shared" si="125"/>
        <v>х</v>
      </c>
      <c r="AW123" s="4" t="str">
        <f t="shared" si="125"/>
        <v>х</v>
      </c>
      <c r="AX123" s="4" t="str">
        <f t="shared" si="125"/>
        <v>х</v>
      </c>
      <c r="AY123" s="4" t="str">
        <f t="shared" si="125"/>
        <v>х</v>
      </c>
      <c r="AZ123" s="4" t="str">
        <f t="shared" si="125"/>
        <v>х</v>
      </c>
      <c r="BA123" s="4" t="str">
        <f t="shared" si="125"/>
        <v>х</v>
      </c>
      <c r="BB123" s="4" t="str">
        <f t="shared" si="125"/>
        <v>х</v>
      </c>
      <c r="BC123" s="4" t="str">
        <f t="shared" si="125"/>
        <v>х</v>
      </c>
      <c r="BD123" s="4" t="str">
        <f t="shared" si="125"/>
        <v>х</v>
      </c>
      <c r="BE123" s="4" t="str">
        <f t="shared" si="125"/>
        <v>х</v>
      </c>
      <c r="BF123" s="4" t="str">
        <f t="shared" si="126"/>
        <v>х</v>
      </c>
      <c r="BG123" s="4" t="str">
        <f t="shared" si="126"/>
        <v>х</v>
      </c>
      <c r="BH123" s="4" t="str">
        <f t="shared" si="126"/>
        <v>х</v>
      </c>
      <c r="BI123" s="4" t="str">
        <f t="shared" si="126"/>
        <v>х</v>
      </c>
      <c r="BJ123" s="4" t="str">
        <f t="shared" si="126"/>
        <v>х</v>
      </c>
      <c r="BK123" s="4" t="str">
        <f t="shared" si="126"/>
        <v>х</v>
      </c>
      <c r="BL123" s="4" t="str">
        <f t="shared" si="126"/>
        <v>х</v>
      </c>
      <c r="BM123" s="4" t="str">
        <f t="shared" si="126"/>
        <v>х</v>
      </c>
      <c r="BN123" s="4" t="str">
        <f t="shared" si="126"/>
        <v>х</v>
      </c>
      <c r="BO123" s="4" t="str">
        <f t="shared" si="126"/>
        <v>х</v>
      </c>
      <c r="BP123" s="4" t="str">
        <f t="shared" si="126"/>
        <v>х</v>
      </c>
      <c r="BQ123" s="4" t="str">
        <f t="shared" si="126"/>
        <v>х</v>
      </c>
      <c r="BR123" s="4" t="str">
        <f>"1975"</f>
        <v>1975</v>
      </c>
      <c r="BS123" s="4" t="str">
        <f>"55,00"</f>
        <v>55,00</v>
      </c>
      <c r="BT123" s="4" t="str">
        <f>"2026-2028"</f>
        <v>2026-2028</v>
      </c>
      <c r="BU123" s="4" t="str">
        <f t="shared" si="73"/>
        <v>нет</v>
      </c>
      <c r="BV123" s="4" t="str">
        <f t="shared" si="121"/>
        <v>x</v>
      </c>
      <c r="BW123" s="4" t="str">
        <f t="shared" si="121"/>
        <v>x</v>
      </c>
      <c r="BX123" s="4" t="str">
        <f t="shared" si="121"/>
        <v>x</v>
      </c>
      <c r="BY123" s="4" t="str">
        <f t="shared" si="120"/>
        <v>нет</v>
      </c>
      <c r="BZ123" s="4" t="str">
        <f t="shared" si="122"/>
        <v>x</v>
      </c>
      <c r="CA123" s="4" t="str">
        <f t="shared" si="122"/>
        <v>x</v>
      </c>
      <c r="CB123" s="4" t="str">
        <f t="shared" si="122"/>
        <v>x</v>
      </c>
      <c r="CC123" s="4" t="str">
        <f>"1975"</f>
        <v>1975</v>
      </c>
      <c r="CD123" s="4" t="str">
        <f>"35,00"</f>
        <v>35,00</v>
      </c>
      <c r="CE123" s="4" t="str">
        <f>"2026-2028"</f>
        <v>2026-2028</v>
      </c>
      <c r="CF123" s="4" t="str">
        <f>"1975"</f>
        <v>1975</v>
      </c>
      <c r="CG123" s="4" t="str">
        <f>"40,00"</f>
        <v>40,00</v>
      </c>
      <c r="CH123" s="4" t="str">
        <f>"2026-2028"</f>
        <v>2026-2028</v>
      </c>
      <c r="CI123" s="4" t="str">
        <f>"43,00"</f>
        <v>43,00</v>
      </c>
      <c r="CJ123" s="4" t="str">
        <f>"2026-2028"</f>
        <v>2026-2028</v>
      </c>
    </row>
    <row r="124" spans="1:88" ht="11.25" customHeight="1">
      <c r="A124" s="45" t="str">
        <f>"24.111"</f>
        <v>24.111</v>
      </c>
      <c r="B124" s="46" t="str">
        <f>"г. Харовск, ул.Заводская, д.5"</f>
        <v>г. Харовск, ул.Заводская, д.5</v>
      </c>
      <c r="C124" s="6" t="str">
        <f>"1970"</f>
        <v>1970</v>
      </c>
      <c r="D124" s="4" t="str">
        <f>"1970"</f>
        <v>1970</v>
      </c>
      <c r="E124" s="4" t="str">
        <f>"45,00"</f>
        <v>45,00</v>
      </c>
      <c r="F124" s="4" t="str">
        <f>"2024-2026"</f>
        <v>2024-2026</v>
      </c>
      <c r="G124" s="4" t="str">
        <f t="shared" si="91"/>
        <v>нет</v>
      </c>
      <c r="H124" s="4" t="str">
        <f>""</f>
        <v/>
      </c>
      <c r="I124" s="4" t="str">
        <f>""</f>
        <v/>
      </c>
      <c r="J124" s="4" t="str">
        <f>""</f>
        <v/>
      </c>
      <c r="K124" s="4" t="str">
        <f t="shared" si="72"/>
        <v>нет</v>
      </c>
      <c r="L124" s="4" t="str">
        <f>""</f>
        <v/>
      </c>
      <c r="M124" s="4" t="str">
        <f>""</f>
        <v/>
      </c>
      <c r="N124" s="4" t="str">
        <f>""</f>
        <v/>
      </c>
      <c r="O124" s="7" t="str">
        <f t="shared" si="128"/>
        <v>х</v>
      </c>
      <c r="P124" s="4" t="str">
        <f t="shared" si="128"/>
        <v>х</v>
      </c>
      <c r="Q124" s="4" t="str">
        <f t="shared" si="128"/>
        <v>х</v>
      </c>
      <c r="R124" s="4" t="str">
        <f t="shared" si="128"/>
        <v>х</v>
      </c>
      <c r="S124" s="4" t="str">
        <f t="shared" si="128"/>
        <v>х</v>
      </c>
      <c r="T124" s="4" t="str">
        <f t="shared" si="128"/>
        <v>х</v>
      </c>
      <c r="U124" s="4" t="str">
        <f t="shared" si="128"/>
        <v>х</v>
      </c>
      <c r="V124" s="4" t="str">
        <f t="shared" si="128"/>
        <v>х</v>
      </c>
      <c r="W124" s="4" t="str">
        <f t="shared" si="128"/>
        <v>х</v>
      </c>
      <c r="X124" s="4" t="str">
        <f t="shared" si="128"/>
        <v>х</v>
      </c>
      <c r="Y124" s="8" t="str">
        <f t="shared" si="128"/>
        <v>х</v>
      </c>
      <c r="Z124" s="4" t="str">
        <f t="shared" si="123"/>
        <v>х</v>
      </c>
      <c r="AA124" s="4" t="str">
        <f t="shared" si="123"/>
        <v>х</v>
      </c>
      <c r="AB124" s="4" t="str">
        <f t="shared" si="123"/>
        <v>х</v>
      </c>
      <c r="AC124" s="4" t="str">
        <f t="shared" si="123"/>
        <v>х</v>
      </c>
      <c r="AD124" s="4" t="str">
        <f t="shared" si="123"/>
        <v>х</v>
      </c>
      <c r="AE124" s="4" t="str">
        <f t="shared" si="99"/>
        <v>х</v>
      </c>
      <c r="AF124" s="4" t="str">
        <f t="shared" si="124"/>
        <v>х</v>
      </c>
      <c r="AG124" s="4" t="str">
        <f t="shared" si="124"/>
        <v>х</v>
      </c>
      <c r="AH124" s="4" t="str">
        <f t="shared" si="124"/>
        <v>х</v>
      </c>
      <c r="AI124" s="4" t="str">
        <f t="shared" si="124"/>
        <v>х</v>
      </c>
      <c r="AJ124" s="4" t="str">
        <f t="shared" si="124"/>
        <v>х</v>
      </c>
      <c r="AK124" s="7" t="str">
        <f t="shared" ref="AK124:AU126" si="129">"х"</f>
        <v>х</v>
      </c>
      <c r="AL124" s="4" t="str">
        <f t="shared" si="129"/>
        <v>х</v>
      </c>
      <c r="AM124" s="4" t="str">
        <f t="shared" si="129"/>
        <v>х</v>
      </c>
      <c r="AN124" s="4" t="str">
        <f t="shared" si="129"/>
        <v>х</v>
      </c>
      <c r="AO124" s="4" t="str">
        <f t="shared" si="129"/>
        <v>х</v>
      </c>
      <c r="AP124" s="4" t="str">
        <f t="shared" si="129"/>
        <v>х</v>
      </c>
      <c r="AQ124" s="4" t="str">
        <f t="shared" si="129"/>
        <v>х</v>
      </c>
      <c r="AR124" s="4" t="str">
        <f t="shared" si="129"/>
        <v>х</v>
      </c>
      <c r="AS124" s="4" t="str">
        <f t="shared" si="129"/>
        <v>х</v>
      </c>
      <c r="AT124" s="4" t="str">
        <f t="shared" si="129"/>
        <v>х</v>
      </c>
      <c r="AU124" s="4" t="str">
        <f t="shared" si="129"/>
        <v>х</v>
      </c>
      <c r="AV124" s="4" t="str">
        <f t="shared" si="125"/>
        <v>х</v>
      </c>
      <c r="AW124" s="4" t="str">
        <f t="shared" si="125"/>
        <v>х</v>
      </c>
      <c r="AX124" s="4" t="str">
        <f t="shared" si="125"/>
        <v>х</v>
      </c>
      <c r="AY124" s="4" t="str">
        <f t="shared" si="125"/>
        <v>х</v>
      </c>
      <c r="AZ124" s="4" t="str">
        <f t="shared" si="125"/>
        <v>х</v>
      </c>
      <c r="BA124" s="4" t="str">
        <f t="shared" si="125"/>
        <v>х</v>
      </c>
      <c r="BB124" s="4" t="str">
        <f t="shared" si="125"/>
        <v>х</v>
      </c>
      <c r="BC124" s="4" t="str">
        <f t="shared" si="125"/>
        <v>х</v>
      </c>
      <c r="BD124" s="4" t="str">
        <f t="shared" si="125"/>
        <v>х</v>
      </c>
      <c r="BE124" s="4" t="str">
        <f t="shared" si="125"/>
        <v>х</v>
      </c>
      <c r="BF124" s="4" t="str">
        <f t="shared" si="126"/>
        <v>х</v>
      </c>
      <c r="BG124" s="4" t="str">
        <f t="shared" si="126"/>
        <v>х</v>
      </c>
      <c r="BH124" s="4" t="str">
        <f t="shared" si="126"/>
        <v>х</v>
      </c>
      <c r="BI124" s="4" t="str">
        <f t="shared" si="126"/>
        <v>х</v>
      </c>
      <c r="BJ124" s="4" t="str">
        <f t="shared" si="126"/>
        <v>х</v>
      </c>
      <c r="BK124" s="4" t="str">
        <f t="shared" si="126"/>
        <v>х</v>
      </c>
      <c r="BL124" s="4" t="str">
        <f t="shared" si="126"/>
        <v>х</v>
      </c>
      <c r="BM124" s="4" t="str">
        <f t="shared" si="126"/>
        <v>х</v>
      </c>
      <c r="BN124" s="4" t="str">
        <f t="shared" si="126"/>
        <v>х</v>
      </c>
      <c r="BO124" s="4" t="str">
        <f t="shared" si="126"/>
        <v>х</v>
      </c>
      <c r="BP124" s="4" t="str">
        <f t="shared" si="126"/>
        <v>х</v>
      </c>
      <c r="BQ124" s="4" t="str">
        <f t="shared" si="126"/>
        <v>х</v>
      </c>
      <c r="BR124" s="4" t="str">
        <f>"1970"</f>
        <v>1970</v>
      </c>
      <c r="BS124" s="4" t="str">
        <f>"15,00"</f>
        <v>15,00</v>
      </c>
      <c r="BT124" s="4" t="str">
        <f>"2024-2026"</f>
        <v>2024-2026</v>
      </c>
      <c r="BU124" s="4" t="str">
        <f t="shared" si="73"/>
        <v>нет</v>
      </c>
      <c r="BV124" s="4" t="str">
        <f t="shared" si="121"/>
        <v>x</v>
      </c>
      <c r="BW124" s="4" t="str">
        <f t="shared" si="121"/>
        <v>x</v>
      </c>
      <c r="BX124" s="4" t="str">
        <f t="shared" si="121"/>
        <v>x</v>
      </c>
      <c r="BY124" s="4" t="str">
        <f t="shared" si="120"/>
        <v>нет</v>
      </c>
      <c r="BZ124" s="4" t="str">
        <f t="shared" si="122"/>
        <v>x</v>
      </c>
      <c r="CA124" s="4" t="str">
        <f t="shared" si="122"/>
        <v>x</v>
      </c>
      <c r="CB124" s="4" t="str">
        <f t="shared" si="122"/>
        <v>x</v>
      </c>
      <c r="CC124" s="4" t="str">
        <f>"1970"</f>
        <v>1970</v>
      </c>
      <c r="CD124" s="4" t="str">
        <f>"45,00"</f>
        <v>45,00</v>
      </c>
      <c r="CE124" s="4" t="str">
        <f>"2024-2026"</f>
        <v>2024-2026</v>
      </c>
      <c r="CF124" s="4" t="str">
        <f>"1970"</f>
        <v>1970</v>
      </c>
      <c r="CG124" s="4" t="str">
        <f>"40,00"</f>
        <v>40,00</v>
      </c>
      <c r="CH124" s="4" t="str">
        <f>"2024-2026"</f>
        <v>2024-2026</v>
      </c>
      <c r="CI124" s="4" t="str">
        <f>"41,00"</f>
        <v>41,00</v>
      </c>
      <c r="CJ124" s="4" t="str">
        <f>"2024-2026"</f>
        <v>2024-2026</v>
      </c>
    </row>
    <row r="125" spans="1:88" ht="11.25" customHeight="1">
      <c r="A125" s="45" t="str">
        <f>"24.112"</f>
        <v>24.112</v>
      </c>
      <c r="B125" s="46" t="str">
        <f>"г. Харовск, ул.Заводская, д.7"</f>
        <v>г. Харовск, ул.Заводская, д.7</v>
      </c>
      <c r="C125" s="6" t="str">
        <f>"1975"</f>
        <v>1975</v>
      </c>
      <c r="D125" s="4" t="str">
        <f>"1975"</f>
        <v>1975</v>
      </c>
      <c r="E125" s="4" t="str">
        <f>"30,00"</f>
        <v>30,00</v>
      </c>
      <c r="F125" s="4" t="str">
        <f>"2026-2028"</f>
        <v>2026-2028</v>
      </c>
      <c r="G125" s="4" t="str">
        <f t="shared" si="91"/>
        <v>нет</v>
      </c>
      <c r="H125" s="4" t="str">
        <f>""</f>
        <v/>
      </c>
      <c r="I125" s="4" t="str">
        <f>""</f>
        <v/>
      </c>
      <c r="J125" s="4" t="str">
        <f>""</f>
        <v/>
      </c>
      <c r="K125" s="4" t="str">
        <f t="shared" si="72"/>
        <v>нет</v>
      </c>
      <c r="L125" s="4" t="str">
        <f>""</f>
        <v/>
      </c>
      <c r="M125" s="4" t="str">
        <f>""</f>
        <v/>
      </c>
      <c r="N125" s="4" t="str">
        <f>""</f>
        <v/>
      </c>
      <c r="O125" s="7" t="str">
        <f t="shared" si="128"/>
        <v>х</v>
      </c>
      <c r="P125" s="4" t="str">
        <f t="shared" si="128"/>
        <v>х</v>
      </c>
      <c r="Q125" s="4" t="str">
        <f t="shared" si="128"/>
        <v>х</v>
      </c>
      <c r="R125" s="4" t="str">
        <f t="shared" si="128"/>
        <v>х</v>
      </c>
      <c r="S125" s="4" t="str">
        <f t="shared" si="128"/>
        <v>х</v>
      </c>
      <c r="T125" s="4" t="str">
        <f t="shared" si="128"/>
        <v>х</v>
      </c>
      <c r="U125" s="4" t="str">
        <f t="shared" si="128"/>
        <v>х</v>
      </c>
      <c r="V125" s="4" t="str">
        <f t="shared" si="128"/>
        <v>х</v>
      </c>
      <c r="W125" s="4" t="str">
        <f t="shared" si="128"/>
        <v>х</v>
      </c>
      <c r="X125" s="4" t="str">
        <f t="shared" si="128"/>
        <v>х</v>
      </c>
      <c r="Y125" s="8" t="str">
        <f t="shared" si="128"/>
        <v>х</v>
      </c>
      <c r="Z125" s="4" t="str">
        <f t="shared" si="123"/>
        <v>х</v>
      </c>
      <c r="AA125" s="4" t="str">
        <f t="shared" si="123"/>
        <v>х</v>
      </c>
      <c r="AB125" s="4" t="str">
        <f t="shared" si="123"/>
        <v>х</v>
      </c>
      <c r="AC125" s="4" t="str">
        <f t="shared" si="123"/>
        <v>х</v>
      </c>
      <c r="AD125" s="4" t="str">
        <f t="shared" si="123"/>
        <v>х</v>
      </c>
      <c r="AE125" s="4" t="str">
        <f t="shared" si="99"/>
        <v>х</v>
      </c>
      <c r="AF125" s="4" t="str">
        <f t="shared" si="124"/>
        <v>х</v>
      </c>
      <c r="AG125" s="4" t="str">
        <f t="shared" si="124"/>
        <v>х</v>
      </c>
      <c r="AH125" s="4" t="str">
        <f t="shared" si="124"/>
        <v>х</v>
      </c>
      <c r="AI125" s="4" t="str">
        <f t="shared" si="124"/>
        <v>х</v>
      </c>
      <c r="AJ125" s="4" t="str">
        <f t="shared" si="124"/>
        <v>х</v>
      </c>
      <c r="AK125" s="7" t="str">
        <f t="shared" si="129"/>
        <v>х</v>
      </c>
      <c r="AL125" s="4" t="str">
        <f t="shared" si="129"/>
        <v>х</v>
      </c>
      <c r="AM125" s="4" t="str">
        <f t="shared" si="129"/>
        <v>х</v>
      </c>
      <c r="AN125" s="4" t="str">
        <f t="shared" si="129"/>
        <v>х</v>
      </c>
      <c r="AO125" s="4" t="str">
        <f t="shared" si="129"/>
        <v>х</v>
      </c>
      <c r="AP125" s="4" t="str">
        <f t="shared" si="129"/>
        <v>х</v>
      </c>
      <c r="AQ125" s="4" t="str">
        <f t="shared" si="129"/>
        <v>х</v>
      </c>
      <c r="AR125" s="4" t="str">
        <f t="shared" si="129"/>
        <v>х</v>
      </c>
      <c r="AS125" s="4" t="str">
        <f t="shared" si="129"/>
        <v>х</v>
      </c>
      <c r="AT125" s="4" t="str">
        <f t="shared" si="129"/>
        <v>х</v>
      </c>
      <c r="AU125" s="4" t="str">
        <f t="shared" si="129"/>
        <v>х</v>
      </c>
      <c r="AV125" s="4" t="str">
        <f t="shared" si="125"/>
        <v>х</v>
      </c>
      <c r="AW125" s="4" t="str">
        <f t="shared" si="125"/>
        <v>х</v>
      </c>
      <c r="AX125" s="4" t="str">
        <f t="shared" si="125"/>
        <v>х</v>
      </c>
      <c r="AY125" s="4" t="str">
        <f t="shared" si="125"/>
        <v>х</v>
      </c>
      <c r="AZ125" s="4" t="str">
        <f t="shared" si="125"/>
        <v>х</v>
      </c>
      <c r="BA125" s="4" t="str">
        <f t="shared" si="125"/>
        <v>х</v>
      </c>
      <c r="BB125" s="4" t="str">
        <f t="shared" si="125"/>
        <v>х</v>
      </c>
      <c r="BC125" s="4" t="str">
        <f t="shared" si="125"/>
        <v>х</v>
      </c>
      <c r="BD125" s="4" t="str">
        <f t="shared" si="125"/>
        <v>х</v>
      </c>
      <c r="BE125" s="4" t="str">
        <f t="shared" si="125"/>
        <v>х</v>
      </c>
      <c r="BF125" s="4" t="str">
        <f t="shared" si="126"/>
        <v>х</v>
      </c>
      <c r="BG125" s="4" t="str">
        <f t="shared" si="126"/>
        <v>х</v>
      </c>
      <c r="BH125" s="4" t="str">
        <f t="shared" si="126"/>
        <v>х</v>
      </c>
      <c r="BI125" s="4" t="str">
        <f t="shared" si="126"/>
        <v>х</v>
      </c>
      <c r="BJ125" s="4" t="str">
        <f t="shared" si="126"/>
        <v>х</v>
      </c>
      <c r="BK125" s="4" t="str">
        <f t="shared" si="126"/>
        <v>х</v>
      </c>
      <c r="BL125" s="4" t="str">
        <f t="shared" si="126"/>
        <v>х</v>
      </c>
      <c r="BM125" s="4" t="str">
        <f t="shared" si="126"/>
        <v>х</v>
      </c>
      <c r="BN125" s="4" t="str">
        <f t="shared" si="126"/>
        <v>х</v>
      </c>
      <c r="BO125" s="4" t="str">
        <f t="shared" si="126"/>
        <v>х</v>
      </c>
      <c r="BP125" s="4" t="str">
        <f t="shared" si="126"/>
        <v>х</v>
      </c>
      <c r="BQ125" s="4" t="str">
        <f t="shared" si="126"/>
        <v>х</v>
      </c>
      <c r="BR125" s="4" t="str">
        <f>"1975"</f>
        <v>1975</v>
      </c>
      <c r="BS125" s="4" t="str">
        <f>"55,00"</f>
        <v>55,00</v>
      </c>
      <c r="BT125" s="4" t="str">
        <f>"2026-2028"</f>
        <v>2026-2028</v>
      </c>
      <c r="BU125" s="4" t="str">
        <f t="shared" si="73"/>
        <v>нет</v>
      </c>
      <c r="BV125" s="4" t="str">
        <f t="shared" si="121"/>
        <v>x</v>
      </c>
      <c r="BW125" s="4" t="str">
        <f t="shared" si="121"/>
        <v>x</v>
      </c>
      <c r="BX125" s="4" t="str">
        <f t="shared" si="121"/>
        <v>x</v>
      </c>
      <c r="BY125" s="4" t="str">
        <f t="shared" si="120"/>
        <v>нет</v>
      </c>
      <c r="BZ125" s="4" t="str">
        <f t="shared" si="122"/>
        <v>x</v>
      </c>
      <c r="CA125" s="4" t="str">
        <f t="shared" si="122"/>
        <v>x</v>
      </c>
      <c r="CB125" s="4" t="str">
        <f t="shared" si="122"/>
        <v>x</v>
      </c>
      <c r="CC125" s="4" t="str">
        <f>"1975"</f>
        <v>1975</v>
      </c>
      <c r="CD125" s="4" t="str">
        <f>"35,00"</f>
        <v>35,00</v>
      </c>
      <c r="CE125" s="4" t="str">
        <f>"2026-2028"</f>
        <v>2026-2028</v>
      </c>
      <c r="CF125" s="4" t="str">
        <f>"1975"</f>
        <v>1975</v>
      </c>
      <c r="CG125" s="4" t="str">
        <f>"40,00"</f>
        <v>40,00</v>
      </c>
      <c r="CH125" s="4" t="str">
        <f>"2026-2028"</f>
        <v>2026-2028</v>
      </c>
      <c r="CI125" s="4" t="str">
        <f>"40,00"</f>
        <v>40,00</v>
      </c>
      <c r="CJ125" s="4" t="str">
        <f>"2026-2028"</f>
        <v>2026-2028</v>
      </c>
    </row>
    <row r="126" spans="1:88" ht="11.25" customHeight="1">
      <c r="A126" s="45" t="str">
        <f>"24.113"</f>
        <v>24.113</v>
      </c>
      <c r="B126" s="46" t="str">
        <f>"г. Харовск, ул.Загородная, д.4"</f>
        <v>г. Харовск, ул.Загородная, д.4</v>
      </c>
      <c r="C126" s="6" t="str">
        <f>"1981"</f>
        <v>1981</v>
      </c>
      <c r="D126" s="4" t="str">
        <f>"1981"</f>
        <v>1981</v>
      </c>
      <c r="E126" s="4" t="str">
        <f>"40,00"</f>
        <v>40,00</v>
      </c>
      <c r="F126" s="4" t="str">
        <f>"2028-2030"</f>
        <v>2028-2030</v>
      </c>
      <c r="G126" s="4" t="str">
        <f t="shared" si="91"/>
        <v>нет</v>
      </c>
      <c r="H126" s="4" t="str">
        <f>""</f>
        <v/>
      </c>
      <c r="I126" s="4" t="str">
        <f>""</f>
        <v/>
      </c>
      <c r="J126" s="4" t="str">
        <f>""</f>
        <v/>
      </c>
      <c r="K126" s="4" t="str">
        <f t="shared" si="72"/>
        <v>нет</v>
      </c>
      <c r="L126" s="4" t="str">
        <f>""</f>
        <v/>
      </c>
      <c r="M126" s="4" t="str">
        <f>""</f>
        <v/>
      </c>
      <c r="N126" s="4" t="str">
        <f>""</f>
        <v/>
      </c>
      <c r="O126" s="7" t="str">
        <f t="shared" si="128"/>
        <v>х</v>
      </c>
      <c r="P126" s="4" t="str">
        <f t="shared" si="128"/>
        <v>х</v>
      </c>
      <c r="Q126" s="4" t="str">
        <f t="shared" si="128"/>
        <v>х</v>
      </c>
      <c r="R126" s="4" t="str">
        <f t="shared" si="128"/>
        <v>х</v>
      </c>
      <c r="S126" s="4" t="str">
        <f t="shared" si="128"/>
        <v>х</v>
      </c>
      <c r="T126" s="4" t="str">
        <f t="shared" si="128"/>
        <v>х</v>
      </c>
      <c r="U126" s="4" t="str">
        <f t="shared" si="128"/>
        <v>х</v>
      </c>
      <c r="V126" s="4" t="str">
        <f t="shared" si="128"/>
        <v>х</v>
      </c>
      <c r="W126" s="4" t="str">
        <f t="shared" si="128"/>
        <v>х</v>
      </c>
      <c r="X126" s="4" t="str">
        <f t="shared" si="128"/>
        <v>х</v>
      </c>
      <c r="Y126" s="8" t="str">
        <f t="shared" si="128"/>
        <v>х</v>
      </c>
      <c r="Z126" s="4" t="str">
        <f t="shared" ref="Z126:AD135" si="130">"х"</f>
        <v>х</v>
      </c>
      <c r="AA126" s="4" t="str">
        <f t="shared" si="130"/>
        <v>х</v>
      </c>
      <c r="AB126" s="4" t="str">
        <f t="shared" si="130"/>
        <v>х</v>
      </c>
      <c r="AC126" s="4" t="str">
        <f t="shared" si="130"/>
        <v>х</v>
      </c>
      <c r="AD126" s="4" t="str">
        <f t="shared" si="130"/>
        <v>х</v>
      </c>
      <c r="AE126" s="4" t="str">
        <f t="shared" si="99"/>
        <v>х</v>
      </c>
      <c r="AF126" s="4" t="str">
        <f t="shared" ref="AF126:AJ135" si="131">"х"</f>
        <v>х</v>
      </c>
      <c r="AG126" s="4" t="str">
        <f t="shared" si="131"/>
        <v>х</v>
      </c>
      <c r="AH126" s="4" t="str">
        <f t="shared" si="131"/>
        <v>х</v>
      </c>
      <c r="AI126" s="4" t="str">
        <f t="shared" si="131"/>
        <v>х</v>
      </c>
      <c r="AJ126" s="4" t="str">
        <f t="shared" si="131"/>
        <v>х</v>
      </c>
      <c r="AK126" s="7" t="str">
        <f t="shared" si="129"/>
        <v>х</v>
      </c>
      <c r="AL126" s="4" t="str">
        <f t="shared" si="129"/>
        <v>х</v>
      </c>
      <c r="AM126" s="4" t="str">
        <f t="shared" si="129"/>
        <v>х</v>
      </c>
      <c r="AN126" s="4" t="str">
        <f t="shared" si="129"/>
        <v>х</v>
      </c>
      <c r="AO126" s="4" t="str">
        <f t="shared" si="129"/>
        <v>х</v>
      </c>
      <c r="AP126" s="4" t="str">
        <f t="shared" si="129"/>
        <v>х</v>
      </c>
      <c r="AQ126" s="4" t="str">
        <f t="shared" si="129"/>
        <v>х</v>
      </c>
      <c r="AR126" s="4" t="str">
        <f t="shared" si="129"/>
        <v>х</v>
      </c>
      <c r="AS126" s="4" t="str">
        <f t="shared" si="129"/>
        <v>х</v>
      </c>
      <c r="AT126" s="4" t="str">
        <f t="shared" si="129"/>
        <v>х</v>
      </c>
      <c r="AU126" s="4" t="str">
        <f t="shared" si="129"/>
        <v>х</v>
      </c>
      <c r="AV126" s="4" t="str">
        <f t="shared" si="125"/>
        <v>х</v>
      </c>
      <c r="AW126" s="4" t="str">
        <f t="shared" si="125"/>
        <v>х</v>
      </c>
      <c r="AX126" s="4" t="str">
        <f t="shared" si="125"/>
        <v>х</v>
      </c>
      <c r="AY126" s="4" t="str">
        <f t="shared" si="125"/>
        <v>х</v>
      </c>
      <c r="AZ126" s="4" t="str">
        <f t="shared" si="125"/>
        <v>х</v>
      </c>
      <c r="BA126" s="4" t="str">
        <f t="shared" si="125"/>
        <v>х</v>
      </c>
      <c r="BB126" s="4" t="str">
        <f t="shared" si="125"/>
        <v>х</v>
      </c>
      <c r="BC126" s="4" t="str">
        <f t="shared" si="125"/>
        <v>х</v>
      </c>
      <c r="BD126" s="4" t="str">
        <f t="shared" si="125"/>
        <v>х</v>
      </c>
      <c r="BE126" s="4" t="str">
        <f t="shared" si="125"/>
        <v>х</v>
      </c>
      <c r="BF126" s="4" t="str">
        <f t="shared" si="126"/>
        <v>х</v>
      </c>
      <c r="BG126" s="4" t="str">
        <f t="shared" si="126"/>
        <v>х</v>
      </c>
      <c r="BH126" s="4" t="str">
        <f t="shared" si="126"/>
        <v>х</v>
      </c>
      <c r="BI126" s="4" t="str">
        <f t="shared" si="126"/>
        <v>х</v>
      </c>
      <c r="BJ126" s="4" t="str">
        <f t="shared" si="126"/>
        <v>х</v>
      </c>
      <c r="BK126" s="4" t="str">
        <f t="shared" si="126"/>
        <v>х</v>
      </c>
      <c r="BL126" s="4" t="str">
        <f t="shared" si="126"/>
        <v>х</v>
      </c>
      <c r="BM126" s="4" t="str">
        <f t="shared" si="126"/>
        <v>х</v>
      </c>
      <c r="BN126" s="4" t="str">
        <f t="shared" si="126"/>
        <v>х</v>
      </c>
      <c r="BO126" s="4" t="str">
        <f t="shared" si="126"/>
        <v>х</v>
      </c>
      <c r="BP126" s="4" t="str">
        <f t="shared" si="126"/>
        <v>х</v>
      </c>
      <c r="BQ126" s="4" t="str">
        <f t="shared" si="126"/>
        <v>х</v>
      </c>
      <c r="BR126" s="4" t="str">
        <f>"1981"</f>
        <v>1981</v>
      </c>
      <c r="BS126" s="4" t="str">
        <f>"45,00"</f>
        <v>45,00</v>
      </c>
      <c r="BT126" s="4" t="str">
        <f>"2028-2030"</f>
        <v>2028-2030</v>
      </c>
      <c r="BU126" s="4" t="str">
        <f t="shared" si="73"/>
        <v>нет</v>
      </c>
      <c r="BV126" s="4" t="str">
        <f t="shared" si="121"/>
        <v>x</v>
      </c>
      <c r="BW126" s="4" t="str">
        <f t="shared" si="121"/>
        <v>x</v>
      </c>
      <c r="BX126" s="4" t="str">
        <f t="shared" si="121"/>
        <v>x</v>
      </c>
      <c r="BY126" s="4" t="str">
        <f t="shared" si="120"/>
        <v>нет</v>
      </c>
      <c r="BZ126" s="4" t="str">
        <f t="shared" si="122"/>
        <v>x</v>
      </c>
      <c r="CA126" s="4" t="str">
        <f t="shared" si="122"/>
        <v>x</v>
      </c>
      <c r="CB126" s="4" t="str">
        <f t="shared" si="122"/>
        <v>x</v>
      </c>
      <c r="CC126" s="4" t="str">
        <f>"1981"</f>
        <v>1981</v>
      </c>
      <c r="CD126" s="4" t="str">
        <f>"45,00"</f>
        <v>45,00</v>
      </c>
      <c r="CE126" s="4" t="str">
        <f>"2028-2030"</f>
        <v>2028-2030</v>
      </c>
      <c r="CF126" s="4" t="str">
        <f>"1981"</f>
        <v>1981</v>
      </c>
      <c r="CG126" s="4" t="str">
        <f>"30,00"</f>
        <v>30,00</v>
      </c>
      <c r="CH126" s="4" t="str">
        <f>"2028-2030"</f>
        <v>2028-2030</v>
      </c>
      <c r="CI126" s="4" t="str">
        <f>"30,00"</f>
        <v>30,00</v>
      </c>
      <c r="CJ126" s="4" t="str">
        <f>"2028-2030"</f>
        <v>2028-2030</v>
      </c>
    </row>
    <row r="127" spans="1:88" ht="11.25" customHeight="1">
      <c r="A127" s="45" t="str">
        <f>"24.114"</f>
        <v>24.114</v>
      </c>
      <c r="B127" s="46" t="str">
        <f>"г. Харовск, ул.Каменная, д.16"</f>
        <v>г. Харовск, ул.Каменная, д.16</v>
      </c>
      <c r="C127" s="6" t="str">
        <f>"1998"</f>
        <v>1998</v>
      </c>
      <c r="D127" s="4" t="str">
        <f>"1998"</f>
        <v>1998</v>
      </c>
      <c r="E127" s="4" t="str">
        <f>"20,00"</f>
        <v>20,00</v>
      </c>
      <c r="F127" s="4" t="str">
        <f>"2036-2038"</f>
        <v>2036-2038</v>
      </c>
      <c r="G127" s="4" t="str">
        <f>"да"</f>
        <v>да</v>
      </c>
      <c r="H127" s="4" t="str">
        <f>"2013"</f>
        <v>2013</v>
      </c>
      <c r="I127" s="4" t="str">
        <f>"1,00"</f>
        <v>1,00</v>
      </c>
      <c r="J127" s="4" t="str">
        <f>"2036-2038"</f>
        <v>2036-2038</v>
      </c>
      <c r="K127" s="4" t="str">
        <f t="shared" si="72"/>
        <v>нет</v>
      </c>
      <c r="L127" s="4" t="str">
        <f>""</f>
        <v/>
      </c>
      <c r="M127" s="4" t="str">
        <f>""</f>
        <v/>
      </c>
      <c r="N127" s="4" t="str">
        <f>""</f>
        <v/>
      </c>
      <c r="O127" s="7" t="str">
        <f>"1998"</f>
        <v>1998</v>
      </c>
      <c r="P127" s="4" t="str">
        <f>"20,00"</f>
        <v>20,00</v>
      </c>
      <c r="Q127" s="4" t="str">
        <f>"2036-2038"</f>
        <v>2036-2038</v>
      </c>
      <c r="R127" s="4" t="str">
        <f>"нет"</f>
        <v>нет</v>
      </c>
      <c r="S127" s="4" t="str">
        <f>""</f>
        <v/>
      </c>
      <c r="T127" s="4" t="str">
        <f>""</f>
        <v/>
      </c>
      <c r="U127" s="4" t="str">
        <f>""</f>
        <v/>
      </c>
      <c r="V127" s="4" t="str">
        <f>"нет"</f>
        <v>нет</v>
      </c>
      <c r="W127" s="4" t="str">
        <f>""</f>
        <v/>
      </c>
      <c r="X127" s="4" t="str">
        <f>""</f>
        <v/>
      </c>
      <c r="Y127" s="8" t="str">
        <f>""</f>
        <v/>
      </c>
      <c r="Z127" s="4" t="str">
        <f t="shared" si="130"/>
        <v>х</v>
      </c>
      <c r="AA127" s="4" t="str">
        <f t="shared" si="130"/>
        <v>х</v>
      </c>
      <c r="AB127" s="4" t="str">
        <f t="shared" si="130"/>
        <v>х</v>
      </c>
      <c r="AC127" s="4" t="str">
        <f t="shared" si="130"/>
        <v>х</v>
      </c>
      <c r="AD127" s="4" t="str">
        <f t="shared" si="130"/>
        <v>х</v>
      </c>
      <c r="AE127" s="4" t="str">
        <f t="shared" si="99"/>
        <v>х</v>
      </c>
      <c r="AF127" s="4" t="str">
        <f t="shared" si="131"/>
        <v>х</v>
      </c>
      <c r="AG127" s="4" t="str">
        <f t="shared" si="131"/>
        <v>х</v>
      </c>
      <c r="AH127" s="4" t="str">
        <f t="shared" si="131"/>
        <v>х</v>
      </c>
      <c r="AI127" s="4" t="str">
        <f t="shared" si="131"/>
        <v>х</v>
      </c>
      <c r="AJ127" s="4" t="str">
        <f t="shared" si="131"/>
        <v>х</v>
      </c>
      <c r="AK127" s="7" t="str">
        <f>"1998"</f>
        <v>1998</v>
      </c>
      <c r="AL127" s="4" t="str">
        <f>"20,00"</f>
        <v>20,00</v>
      </c>
      <c r="AM127" s="4" t="str">
        <f>"2036-2038"</f>
        <v>2036-2038</v>
      </c>
      <c r="AN127" s="4" t="str">
        <f>"да"</f>
        <v>да</v>
      </c>
      <c r="AO127" s="4" t="str">
        <f>"2013"</f>
        <v>2013</v>
      </c>
      <c r="AP127" s="4" t="str">
        <f>"1,00"</f>
        <v>1,00</v>
      </c>
      <c r="AQ127" s="4" t="str">
        <f>"2036-2038"</f>
        <v>2036-2038</v>
      </c>
      <c r="AR127" s="4" t="str">
        <f>"нет"</f>
        <v>нет</v>
      </c>
      <c r="AS127" s="4" t="str">
        <f>""</f>
        <v/>
      </c>
      <c r="AT127" s="4" t="str">
        <f>""</f>
        <v/>
      </c>
      <c r="AU127" s="4" t="str">
        <f>""</f>
        <v/>
      </c>
      <c r="AV127" s="4" t="str">
        <f t="shared" ref="AV127:BF129" si="132">"х"</f>
        <v>х</v>
      </c>
      <c r="AW127" s="4" t="str">
        <f t="shared" si="132"/>
        <v>х</v>
      </c>
      <c r="AX127" s="4" t="str">
        <f t="shared" si="132"/>
        <v>х</v>
      </c>
      <c r="AY127" s="4" t="str">
        <f t="shared" si="132"/>
        <v>х</v>
      </c>
      <c r="AZ127" s="4" t="str">
        <f t="shared" si="132"/>
        <v>х</v>
      </c>
      <c r="BA127" s="4" t="str">
        <f t="shared" si="132"/>
        <v>х</v>
      </c>
      <c r="BB127" s="4" t="str">
        <f t="shared" si="132"/>
        <v>х</v>
      </c>
      <c r="BC127" s="4" t="str">
        <f t="shared" si="132"/>
        <v>х</v>
      </c>
      <c r="BD127" s="4" t="str">
        <f t="shared" si="132"/>
        <v>х</v>
      </c>
      <c r="BE127" s="4" t="str">
        <f t="shared" si="132"/>
        <v>х</v>
      </c>
      <c r="BF127" s="4" t="str">
        <f t="shared" si="132"/>
        <v>х</v>
      </c>
      <c r="BG127" s="4" t="str">
        <f>"1998"</f>
        <v>1998</v>
      </c>
      <c r="BH127" s="4" t="str">
        <f>"20,00"</f>
        <v>20,00</v>
      </c>
      <c r="BI127" s="4" t="str">
        <f>"2036-2038"</f>
        <v>2036-2038</v>
      </c>
      <c r="BJ127" s="4" t="str">
        <f>"нет"</f>
        <v>нет</v>
      </c>
      <c r="BK127" s="4" t="str">
        <f>""</f>
        <v/>
      </c>
      <c r="BL127" s="4" t="str">
        <f>""</f>
        <v/>
      </c>
      <c r="BM127" s="4" t="str">
        <f>""</f>
        <v/>
      </c>
      <c r="BN127" s="4" t="str">
        <f>"нет"</f>
        <v>нет</v>
      </c>
      <c r="BO127" s="4" t="str">
        <f>""</f>
        <v/>
      </c>
      <c r="BP127" s="4" t="str">
        <f>""</f>
        <v/>
      </c>
      <c r="BQ127" s="4" t="str">
        <f>""</f>
        <v/>
      </c>
      <c r="BR127" s="4" t="str">
        <f>"1998"</f>
        <v>1998</v>
      </c>
      <c r="BS127" s="4" t="str">
        <f>"15,00"</f>
        <v>15,00</v>
      </c>
      <c r="BT127" s="4" t="str">
        <f>"2036-2038"</f>
        <v>2036-2038</v>
      </c>
      <c r="BU127" s="4" t="str">
        <f t="shared" si="73"/>
        <v>нет</v>
      </c>
      <c r="BV127" s="4" t="str">
        <f t="shared" si="121"/>
        <v>x</v>
      </c>
      <c r="BW127" s="4" t="str">
        <f t="shared" si="121"/>
        <v>x</v>
      </c>
      <c r="BX127" s="4" t="str">
        <f t="shared" si="121"/>
        <v>x</v>
      </c>
      <c r="BY127" s="4" t="str">
        <f t="shared" si="120"/>
        <v>нет</v>
      </c>
      <c r="BZ127" s="4" t="str">
        <f>"1998"</f>
        <v>1998</v>
      </c>
      <c r="CA127" s="4" t="str">
        <f>"13,00"</f>
        <v>13,00</v>
      </c>
      <c r="CB127" s="4" t="str">
        <f>"2028-2030"</f>
        <v>2028-2030</v>
      </c>
      <c r="CC127" s="4" t="str">
        <f>"1998"</f>
        <v>1998</v>
      </c>
      <c r="CD127" s="4" t="str">
        <f>"20,00"</f>
        <v>20,00</v>
      </c>
      <c r="CE127" s="4" t="str">
        <f>"2036-2038"</f>
        <v>2036-2038</v>
      </c>
      <c r="CF127" s="4" t="str">
        <f>"1998"</f>
        <v>1998</v>
      </c>
      <c r="CG127" s="4" t="str">
        <f>"5,00"</f>
        <v>5,00</v>
      </c>
      <c r="CH127" s="4" t="str">
        <f>"2036-2038"</f>
        <v>2036-2038</v>
      </c>
      <c r="CI127" s="4" t="str">
        <f>"13,00"</f>
        <v>13,00</v>
      </c>
      <c r="CJ127" s="4" t="str">
        <f>"2036-2038"</f>
        <v>2036-2038</v>
      </c>
    </row>
    <row r="128" spans="1:88" ht="11.25" customHeight="1">
      <c r="A128" s="45" t="str">
        <f>"24.115"</f>
        <v>24.115</v>
      </c>
      <c r="B128" s="46" t="str">
        <f>"г. Харовск, ул.Каменная, д.2"</f>
        <v>г. Харовск, ул.Каменная, д.2</v>
      </c>
      <c r="C128" s="6" t="str">
        <f>"1971"</f>
        <v>1971</v>
      </c>
      <c r="D128" s="4" t="str">
        <f>"2006"</f>
        <v>2006</v>
      </c>
      <c r="E128" s="4" t="str">
        <f>"5,00"</f>
        <v>5,00</v>
      </c>
      <c r="F128" s="4" t="str">
        <f>"2030-2032"</f>
        <v>2030-2032</v>
      </c>
      <c r="G128" s="4" t="str">
        <f t="shared" ref="G128:G140" si="133">"нет"</f>
        <v>нет</v>
      </c>
      <c r="H128" s="4" t="str">
        <f>""</f>
        <v/>
      </c>
      <c r="I128" s="4" t="str">
        <f>""</f>
        <v/>
      </c>
      <c r="J128" s="4" t="str">
        <f>""</f>
        <v/>
      </c>
      <c r="K128" s="4" t="str">
        <f t="shared" si="72"/>
        <v>нет</v>
      </c>
      <c r="L128" s="4" t="str">
        <f>""</f>
        <v/>
      </c>
      <c r="M128" s="4" t="str">
        <f>""</f>
        <v/>
      </c>
      <c r="N128" s="4" t="str">
        <f>""</f>
        <v/>
      </c>
      <c r="O128" s="7" t="str">
        <f>"2006"</f>
        <v>2006</v>
      </c>
      <c r="P128" s="4" t="str">
        <f>"5,00"</f>
        <v>5,00</v>
      </c>
      <c r="Q128" s="4" t="str">
        <f>"2030-2032"</f>
        <v>2030-2032</v>
      </c>
      <c r="R128" s="4" t="str">
        <f>"нет"</f>
        <v>нет</v>
      </c>
      <c r="S128" s="4" t="str">
        <f>""</f>
        <v/>
      </c>
      <c r="T128" s="4" t="str">
        <f>""</f>
        <v/>
      </c>
      <c r="U128" s="4" t="str">
        <f>""</f>
        <v/>
      </c>
      <c r="V128" s="4" t="str">
        <f>"нет"</f>
        <v>нет</v>
      </c>
      <c r="W128" s="4" t="str">
        <f>""</f>
        <v/>
      </c>
      <c r="X128" s="4" t="str">
        <f>""</f>
        <v/>
      </c>
      <c r="Y128" s="8" t="str">
        <f>""</f>
        <v/>
      </c>
      <c r="Z128" s="4" t="str">
        <f t="shared" si="130"/>
        <v>х</v>
      </c>
      <c r="AA128" s="4" t="str">
        <f t="shared" si="130"/>
        <v>х</v>
      </c>
      <c r="AB128" s="4" t="str">
        <f t="shared" si="130"/>
        <v>х</v>
      </c>
      <c r="AC128" s="4" t="str">
        <f t="shared" si="130"/>
        <v>х</v>
      </c>
      <c r="AD128" s="4" t="str">
        <f t="shared" si="130"/>
        <v>х</v>
      </c>
      <c r="AE128" s="4" t="str">
        <f t="shared" si="99"/>
        <v>х</v>
      </c>
      <c r="AF128" s="4" t="str">
        <f t="shared" si="131"/>
        <v>х</v>
      </c>
      <c r="AG128" s="4" t="str">
        <f t="shared" si="131"/>
        <v>х</v>
      </c>
      <c r="AH128" s="4" t="str">
        <f t="shared" si="131"/>
        <v>х</v>
      </c>
      <c r="AI128" s="4" t="str">
        <f t="shared" si="131"/>
        <v>х</v>
      </c>
      <c r="AJ128" s="4" t="str">
        <f t="shared" si="131"/>
        <v>х</v>
      </c>
      <c r="AK128" s="7" t="str">
        <f>"2006"</f>
        <v>2006</v>
      </c>
      <c r="AL128" s="4" t="str">
        <f>"5,00"</f>
        <v>5,00</v>
      </c>
      <c r="AM128" s="4" t="str">
        <f>"2030-2032"</f>
        <v>2030-2032</v>
      </c>
      <c r="AN128" s="4" t="str">
        <f>"нет"</f>
        <v>нет</v>
      </c>
      <c r="AO128" s="4" t="str">
        <f>""</f>
        <v/>
      </c>
      <c r="AP128" s="4" t="str">
        <f>""</f>
        <v/>
      </c>
      <c r="AQ128" s="4" t="str">
        <f>""</f>
        <v/>
      </c>
      <c r="AR128" s="4" t="str">
        <f>"нет"</f>
        <v>нет</v>
      </c>
      <c r="AS128" s="4" t="str">
        <f>""</f>
        <v/>
      </c>
      <c r="AT128" s="4" t="str">
        <f>""</f>
        <v/>
      </c>
      <c r="AU128" s="4" t="str">
        <f>""</f>
        <v/>
      </c>
      <c r="AV128" s="4" t="str">
        <f t="shared" si="132"/>
        <v>х</v>
      </c>
      <c r="AW128" s="4" t="str">
        <f t="shared" si="132"/>
        <v>х</v>
      </c>
      <c r="AX128" s="4" t="str">
        <f t="shared" si="132"/>
        <v>х</v>
      </c>
      <c r="AY128" s="4" t="str">
        <f t="shared" si="132"/>
        <v>х</v>
      </c>
      <c r="AZ128" s="4" t="str">
        <f t="shared" si="132"/>
        <v>х</v>
      </c>
      <c r="BA128" s="4" t="str">
        <f t="shared" si="132"/>
        <v>х</v>
      </c>
      <c r="BB128" s="4" t="str">
        <f t="shared" si="132"/>
        <v>х</v>
      </c>
      <c r="BC128" s="4" t="str">
        <f t="shared" si="132"/>
        <v>х</v>
      </c>
      <c r="BD128" s="4" t="str">
        <f t="shared" si="132"/>
        <v>х</v>
      </c>
      <c r="BE128" s="4" t="str">
        <f t="shared" si="132"/>
        <v>х</v>
      </c>
      <c r="BF128" s="4" t="str">
        <f t="shared" si="132"/>
        <v>х</v>
      </c>
      <c r="BG128" s="4" t="str">
        <f>"2006"</f>
        <v>2006</v>
      </c>
      <c r="BH128" s="4" t="str">
        <f>"5,00"</f>
        <v>5,00</v>
      </c>
      <c r="BI128" s="4" t="str">
        <f>"2030-2032"</f>
        <v>2030-2032</v>
      </c>
      <c r="BJ128" s="4" t="str">
        <f>"нет"</f>
        <v>нет</v>
      </c>
      <c r="BK128" s="4" t="str">
        <f>""</f>
        <v/>
      </c>
      <c r="BL128" s="4" t="str">
        <f>""</f>
        <v/>
      </c>
      <c r="BM128" s="4" t="str">
        <f>""</f>
        <v/>
      </c>
      <c r="BN128" s="4" t="str">
        <f>"нет"</f>
        <v>нет</v>
      </c>
      <c r="BO128" s="4" t="str">
        <f>""</f>
        <v/>
      </c>
      <c r="BP128" s="4" t="str">
        <f>""</f>
        <v/>
      </c>
      <c r="BQ128" s="4" t="str">
        <f>""</f>
        <v/>
      </c>
      <c r="BR128" s="4" t="str">
        <f>"2006"</f>
        <v>2006</v>
      </c>
      <c r="BS128" s="4" t="str">
        <f>"25,00"</f>
        <v>25,00</v>
      </c>
      <c r="BT128" s="4" t="str">
        <f>"2030-2032"</f>
        <v>2030-2032</v>
      </c>
      <c r="BU128" s="4" t="str">
        <f t="shared" si="73"/>
        <v>нет</v>
      </c>
      <c r="BV128" s="4" t="str">
        <f t="shared" si="121"/>
        <v>x</v>
      </c>
      <c r="BW128" s="4" t="str">
        <f t="shared" si="121"/>
        <v>x</v>
      </c>
      <c r="BX128" s="4" t="str">
        <f t="shared" si="121"/>
        <v>x</v>
      </c>
      <c r="BY128" s="4" t="str">
        <f t="shared" si="120"/>
        <v>нет</v>
      </c>
      <c r="BZ128" s="4" t="str">
        <f t="shared" ref="BZ128:CB147" si="134">"x"</f>
        <v>x</v>
      </c>
      <c r="CA128" s="4" t="str">
        <f t="shared" si="134"/>
        <v>x</v>
      </c>
      <c r="CB128" s="4" t="str">
        <f t="shared" si="134"/>
        <v>x</v>
      </c>
      <c r="CC128" s="4" t="str">
        <f>"2006"</f>
        <v>2006</v>
      </c>
      <c r="CD128" s="4" t="str">
        <f>"45,00"</f>
        <v>45,00</v>
      </c>
      <c r="CE128" s="4" t="str">
        <f>"2030-2032"</f>
        <v>2030-2032</v>
      </c>
      <c r="CF128" s="4" t="str">
        <f>"1971"</f>
        <v>1971</v>
      </c>
      <c r="CG128" s="4" t="str">
        <f>"25,00"</f>
        <v>25,00</v>
      </c>
      <c r="CH128" s="4" t="str">
        <f>"2030-2032"</f>
        <v>2030-2032</v>
      </c>
      <c r="CI128" s="4" t="str">
        <f>"24,00"</f>
        <v>24,00</v>
      </c>
      <c r="CJ128" s="4" t="str">
        <f>"2030-2032"</f>
        <v>2030-2032</v>
      </c>
    </row>
    <row r="129" spans="1:88" ht="11.25" customHeight="1">
      <c r="A129" s="45" t="str">
        <f>"24.116"</f>
        <v>24.116</v>
      </c>
      <c r="B129" s="46" t="str">
        <f>"г. Харовск, ул.Каменная, д.28"</f>
        <v>г. Харовск, ул.Каменная, д.28</v>
      </c>
      <c r="C129" s="6" t="str">
        <f>"1959"</f>
        <v>1959</v>
      </c>
      <c r="D129" s="4" t="str">
        <f>"1959"</f>
        <v>1959</v>
      </c>
      <c r="E129" s="4" t="str">
        <f>"55,00"</f>
        <v>55,00</v>
      </c>
      <c r="F129" s="4" t="str">
        <f>"2027-2029"</f>
        <v>2027-2029</v>
      </c>
      <c r="G129" s="4" t="str">
        <f t="shared" si="133"/>
        <v>нет</v>
      </c>
      <c r="H129" s="4" t="str">
        <f>""</f>
        <v/>
      </c>
      <c r="I129" s="4" t="str">
        <f>""</f>
        <v/>
      </c>
      <c r="J129" s="4" t="str">
        <f>""</f>
        <v/>
      </c>
      <c r="K129" s="4" t="str">
        <f t="shared" si="72"/>
        <v>нет</v>
      </c>
      <c r="L129" s="4" t="str">
        <f>""</f>
        <v/>
      </c>
      <c r="M129" s="4" t="str">
        <f>""</f>
        <v/>
      </c>
      <c r="N129" s="4" t="str">
        <f>""</f>
        <v/>
      </c>
      <c r="O129" s="7" t="str">
        <f t="shared" ref="O129:Y129" si="135">"х"</f>
        <v>х</v>
      </c>
      <c r="P129" s="4" t="str">
        <f t="shared" si="135"/>
        <v>х</v>
      </c>
      <c r="Q129" s="4" t="str">
        <f t="shared" si="135"/>
        <v>х</v>
      </c>
      <c r="R129" s="4" t="str">
        <f t="shared" si="135"/>
        <v>х</v>
      </c>
      <c r="S129" s="4" t="str">
        <f t="shared" si="135"/>
        <v>х</v>
      </c>
      <c r="T129" s="4" t="str">
        <f t="shared" si="135"/>
        <v>х</v>
      </c>
      <c r="U129" s="4" t="str">
        <f t="shared" si="135"/>
        <v>х</v>
      </c>
      <c r="V129" s="4" t="str">
        <f t="shared" si="135"/>
        <v>х</v>
      </c>
      <c r="W129" s="4" t="str">
        <f t="shared" si="135"/>
        <v>х</v>
      </c>
      <c r="X129" s="4" t="str">
        <f t="shared" si="135"/>
        <v>х</v>
      </c>
      <c r="Y129" s="8" t="str">
        <f t="shared" si="135"/>
        <v>х</v>
      </c>
      <c r="Z129" s="4" t="str">
        <f t="shared" si="130"/>
        <v>х</v>
      </c>
      <c r="AA129" s="4" t="str">
        <f t="shared" si="130"/>
        <v>х</v>
      </c>
      <c r="AB129" s="4" t="str">
        <f t="shared" si="130"/>
        <v>х</v>
      </c>
      <c r="AC129" s="4" t="str">
        <f t="shared" si="130"/>
        <v>х</v>
      </c>
      <c r="AD129" s="4" t="str">
        <f t="shared" si="130"/>
        <v>х</v>
      </c>
      <c r="AE129" s="4" t="str">
        <f t="shared" ref="AE129:AE160" si="136">"х"</f>
        <v>х</v>
      </c>
      <c r="AF129" s="4" t="str">
        <f t="shared" si="131"/>
        <v>х</v>
      </c>
      <c r="AG129" s="4" t="str">
        <f t="shared" si="131"/>
        <v>х</v>
      </c>
      <c r="AH129" s="4" t="str">
        <f t="shared" si="131"/>
        <v>х</v>
      </c>
      <c r="AI129" s="4" t="str">
        <f t="shared" si="131"/>
        <v>х</v>
      </c>
      <c r="AJ129" s="4" t="str">
        <f t="shared" si="131"/>
        <v>х</v>
      </c>
      <c r="AK129" s="7" t="str">
        <f t="shared" ref="AK129:AU129" si="137">"х"</f>
        <v>х</v>
      </c>
      <c r="AL129" s="4" t="str">
        <f t="shared" si="137"/>
        <v>х</v>
      </c>
      <c r="AM129" s="4" t="str">
        <f t="shared" si="137"/>
        <v>х</v>
      </c>
      <c r="AN129" s="4" t="str">
        <f t="shared" si="137"/>
        <v>х</v>
      </c>
      <c r="AO129" s="4" t="str">
        <f t="shared" si="137"/>
        <v>х</v>
      </c>
      <c r="AP129" s="4" t="str">
        <f t="shared" si="137"/>
        <v>х</v>
      </c>
      <c r="AQ129" s="4" t="str">
        <f t="shared" si="137"/>
        <v>х</v>
      </c>
      <c r="AR129" s="4" t="str">
        <f t="shared" si="137"/>
        <v>х</v>
      </c>
      <c r="AS129" s="4" t="str">
        <f t="shared" si="137"/>
        <v>х</v>
      </c>
      <c r="AT129" s="4" t="str">
        <f t="shared" si="137"/>
        <v>х</v>
      </c>
      <c r="AU129" s="4" t="str">
        <f t="shared" si="137"/>
        <v>х</v>
      </c>
      <c r="AV129" s="4" t="str">
        <f t="shared" si="132"/>
        <v>х</v>
      </c>
      <c r="AW129" s="4" t="str">
        <f t="shared" si="132"/>
        <v>х</v>
      </c>
      <c r="AX129" s="4" t="str">
        <f t="shared" si="132"/>
        <v>х</v>
      </c>
      <c r="AY129" s="4" t="str">
        <f t="shared" si="132"/>
        <v>х</v>
      </c>
      <c r="AZ129" s="4" t="str">
        <f t="shared" si="132"/>
        <v>х</v>
      </c>
      <c r="BA129" s="4" t="str">
        <f t="shared" si="132"/>
        <v>х</v>
      </c>
      <c r="BB129" s="4" t="str">
        <f t="shared" si="132"/>
        <v>х</v>
      </c>
      <c r="BC129" s="4" t="str">
        <f t="shared" si="132"/>
        <v>х</v>
      </c>
      <c r="BD129" s="4" t="str">
        <f t="shared" si="132"/>
        <v>х</v>
      </c>
      <c r="BE129" s="4" t="str">
        <f t="shared" si="132"/>
        <v>х</v>
      </c>
      <c r="BF129" s="4" t="str">
        <f t="shared" si="132"/>
        <v>х</v>
      </c>
      <c r="BG129" s="4" t="str">
        <f t="shared" ref="BG129:BQ129" si="138">"х"</f>
        <v>х</v>
      </c>
      <c r="BH129" s="4" t="str">
        <f t="shared" si="138"/>
        <v>х</v>
      </c>
      <c r="BI129" s="4" t="str">
        <f t="shared" si="138"/>
        <v>х</v>
      </c>
      <c r="BJ129" s="4" t="str">
        <f t="shared" si="138"/>
        <v>х</v>
      </c>
      <c r="BK129" s="4" t="str">
        <f t="shared" si="138"/>
        <v>х</v>
      </c>
      <c r="BL129" s="4" t="str">
        <f t="shared" si="138"/>
        <v>х</v>
      </c>
      <c r="BM129" s="4" t="str">
        <f t="shared" si="138"/>
        <v>х</v>
      </c>
      <c r="BN129" s="4" t="str">
        <f t="shared" si="138"/>
        <v>х</v>
      </c>
      <c r="BO129" s="4" t="str">
        <f t="shared" si="138"/>
        <v>х</v>
      </c>
      <c r="BP129" s="4" t="str">
        <f t="shared" si="138"/>
        <v>х</v>
      </c>
      <c r="BQ129" s="4" t="str">
        <f t="shared" si="138"/>
        <v>х</v>
      </c>
      <c r="BR129" s="4" t="str">
        <f>"1959"</f>
        <v>1959</v>
      </c>
      <c r="BS129" s="4" t="str">
        <f>"40,00"</f>
        <v>40,00</v>
      </c>
      <c r="BT129" s="4" t="str">
        <f>"2017-2019"</f>
        <v>2017-2019</v>
      </c>
      <c r="BU129" s="4" t="str">
        <f t="shared" si="73"/>
        <v>нет</v>
      </c>
      <c r="BV129" s="4" t="str">
        <f t="shared" si="121"/>
        <v>x</v>
      </c>
      <c r="BW129" s="4" t="str">
        <f t="shared" si="121"/>
        <v>x</v>
      </c>
      <c r="BX129" s="4" t="str">
        <f t="shared" si="121"/>
        <v>x</v>
      </c>
      <c r="BY129" s="4" t="str">
        <f t="shared" si="120"/>
        <v>нет</v>
      </c>
      <c r="BZ129" s="4" t="str">
        <f t="shared" si="134"/>
        <v>x</v>
      </c>
      <c r="CA129" s="4" t="str">
        <f t="shared" si="134"/>
        <v>x</v>
      </c>
      <c r="CB129" s="4" t="str">
        <f t="shared" si="134"/>
        <v>x</v>
      </c>
      <c r="CC129" s="4" t="str">
        <f>"1959"</f>
        <v>1959</v>
      </c>
      <c r="CD129" s="4" t="str">
        <f>"60,00"</f>
        <v>60,00</v>
      </c>
      <c r="CE129" s="4" t="str">
        <f>"2017-2019"</f>
        <v>2017-2019</v>
      </c>
      <c r="CF129" s="4" t="str">
        <f>"1959"</f>
        <v>1959</v>
      </c>
      <c r="CG129" s="4" t="str">
        <f>"40,00"</f>
        <v>40,00</v>
      </c>
      <c r="CH129" s="4" t="str">
        <f>"2027-2029"</f>
        <v>2027-2029</v>
      </c>
      <c r="CI129" s="4" t="str">
        <f>"56,00"</f>
        <v>56,00</v>
      </c>
      <c r="CJ129" s="4" t="str">
        <f>"2017-2019"</f>
        <v>2017-2019</v>
      </c>
    </row>
    <row r="130" spans="1:88" ht="11.25" customHeight="1">
      <c r="A130" s="45" t="str">
        <f>"24.117"</f>
        <v>24.117</v>
      </c>
      <c r="B130" s="46" t="str">
        <f>"г. Харовск, ул.Кирова, д.10"</f>
        <v>г. Харовск, ул.Кирова, д.10</v>
      </c>
      <c r="C130" s="6" t="str">
        <f>"1932"</f>
        <v>1932</v>
      </c>
      <c r="D130" s="4" t="str">
        <f>"1932"</f>
        <v>1932</v>
      </c>
      <c r="E130" s="4" t="str">
        <f>"55,00"</f>
        <v>55,00</v>
      </c>
      <c r="F130" s="4" t="str">
        <f>"2015-2017"</f>
        <v>2015-2017</v>
      </c>
      <c r="G130" s="4" t="str">
        <f t="shared" si="133"/>
        <v>нет</v>
      </c>
      <c r="H130" s="4" t="str">
        <f>""</f>
        <v/>
      </c>
      <c r="I130" s="4" t="str">
        <f>""</f>
        <v/>
      </c>
      <c r="J130" s="4" t="str">
        <f>"2015-2017"</f>
        <v>2015-2017</v>
      </c>
      <c r="K130" s="4" t="str">
        <f t="shared" si="72"/>
        <v>нет</v>
      </c>
      <c r="L130" s="4" t="str">
        <f>""</f>
        <v/>
      </c>
      <c r="M130" s="4" t="str">
        <f>""</f>
        <v/>
      </c>
      <c r="N130" s="4" t="str">
        <f>""</f>
        <v/>
      </c>
      <c r="O130" s="7" t="str">
        <f>"1932"</f>
        <v>1932</v>
      </c>
      <c r="P130" s="4" t="str">
        <f>"55,00"</f>
        <v>55,00</v>
      </c>
      <c r="Q130" s="4" t="str">
        <f>"2015-2017"</f>
        <v>2015-2017</v>
      </c>
      <c r="R130" s="4" t="str">
        <f>"нет"</f>
        <v>нет</v>
      </c>
      <c r="S130" s="4" t="str">
        <f>""</f>
        <v/>
      </c>
      <c r="T130" s="4" t="str">
        <f>""</f>
        <v/>
      </c>
      <c r="U130" s="4" t="str">
        <f>"2015-2017"</f>
        <v>2015-2017</v>
      </c>
      <c r="V130" s="4" t="str">
        <f t="shared" ref="V130:V148" si="139">"нет"</f>
        <v>нет</v>
      </c>
      <c r="W130" s="4" t="str">
        <f>""</f>
        <v/>
      </c>
      <c r="X130" s="4" t="str">
        <f>""</f>
        <v/>
      </c>
      <c r="Y130" s="8" t="str">
        <f>""</f>
        <v/>
      </c>
      <c r="Z130" s="4" t="str">
        <f t="shared" si="130"/>
        <v>х</v>
      </c>
      <c r="AA130" s="4" t="str">
        <f t="shared" si="130"/>
        <v>х</v>
      </c>
      <c r="AB130" s="4" t="str">
        <f t="shared" si="130"/>
        <v>х</v>
      </c>
      <c r="AC130" s="4" t="str">
        <f t="shared" si="130"/>
        <v>х</v>
      </c>
      <c r="AD130" s="4" t="str">
        <f t="shared" si="130"/>
        <v>х</v>
      </c>
      <c r="AE130" s="4" t="str">
        <f t="shared" si="136"/>
        <v>х</v>
      </c>
      <c r="AF130" s="4" t="str">
        <f t="shared" si="131"/>
        <v>х</v>
      </c>
      <c r="AG130" s="4" t="str">
        <f t="shared" si="131"/>
        <v>х</v>
      </c>
      <c r="AH130" s="4" t="str">
        <f t="shared" si="131"/>
        <v>х</v>
      </c>
      <c r="AI130" s="4" t="str">
        <f t="shared" si="131"/>
        <v>х</v>
      </c>
      <c r="AJ130" s="4" t="str">
        <f t="shared" si="131"/>
        <v>х</v>
      </c>
      <c r="AK130" s="7" t="str">
        <f>"1932"</f>
        <v>1932</v>
      </c>
      <c r="AL130" s="4" t="str">
        <f>"55,00"</f>
        <v>55,00</v>
      </c>
      <c r="AM130" s="4" t="str">
        <f>"2015-2017"</f>
        <v>2015-2017</v>
      </c>
      <c r="AN130" s="4" t="str">
        <f>"да"</f>
        <v>да</v>
      </c>
      <c r="AO130" s="4" t="str">
        <f>"2013"</f>
        <v>2013</v>
      </c>
      <c r="AP130" s="4" t="str">
        <f>"1,00"</f>
        <v>1,00</v>
      </c>
      <c r="AQ130" s="4" t="str">
        <f>"2015-2017"</f>
        <v>2015-2017</v>
      </c>
      <c r="AR130" s="4" t="str">
        <f t="shared" ref="AR130:AR148" si="140">"нет"</f>
        <v>нет</v>
      </c>
      <c r="AS130" s="4" t="str">
        <f>""</f>
        <v/>
      </c>
      <c r="AT130" s="4" t="str">
        <f>""</f>
        <v/>
      </c>
      <c r="AU130" s="4" t="str">
        <f>""</f>
        <v/>
      </c>
      <c r="AV130" s="4" t="str">
        <f>"1932"</f>
        <v>1932</v>
      </c>
      <c r="AW130" s="4" t="str">
        <f>"55,00"</f>
        <v>55,00</v>
      </c>
      <c r="AX130" s="4" t="str">
        <f>"2015-2017"</f>
        <v>2015-2017</v>
      </c>
      <c r="AY130" s="4" t="str">
        <f t="shared" ref="AY130:AY140" si="141">"нет"</f>
        <v>нет</v>
      </c>
      <c r="AZ130" s="4" t="str">
        <f>""</f>
        <v/>
      </c>
      <c r="BA130" s="4" t="str">
        <f>""</f>
        <v/>
      </c>
      <c r="BB130" s="4" t="str">
        <f>""</f>
        <v/>
      </c>
      <c r="BC130" s="4" t="str">
        <f t="shared" ref="BC130:BC140" si="142">"нет"</f>
        <v>нет</v>
      </c>
      <c r="BD130" s="4" t="str">
        <f>""</f>
        <v/>
      </c>
      <c r="BE130" s="4" t="str">
        <f>""</f>
        <v/>
      </c>
      <c r="BF130" s="4" t="str">
        <f>""</f>
        <v/>
      </c>
      <c r="BG130" s="4" t="str">
        <f>"1932"</f>
        <v>1932</v>
      </c>
      <c r="BH130" s="4" t="str">
        <f>"55,00"</f>
        <v>55,00</v>
      </c>
      <c r="BI130" s="4" t="str">
        <f>"2015-2017"</f>
        <v>2015-2017</v>
      </c>
      <c r="BJ130" s="4" t="str">
        <f t="shared" ref="BJ130:BJ148" si="143">"нет"</f>
        <v>нет</v>
      </c>
      <c r="BK130" s="4" t="str">
        <f>""</f>
        <v/>
      </c>
      <c r="BL130" s="4" t="str">
        <f>""</f>
        <v/>
      </c>
      <c r="BM130" s="4" t="str">
        <f>""</f>
        <v/>
      </c>
      <c r="BN130" s="4" t="str">
        <f t="shared" ref="BN130:BN148" si="144">"нет"</f>
        <v>нет</v>
      </c>
      <c r="BO130" s="4" t="str">
        <f>""</f>
        <v/>
      </c>
      <c r="BP130" s="4" t="str">
        <f>""</f>
        <v/>
      </c>
      <c r="BQ130" s="4" t="str">
        <f>""</f>
        <v/>
      </c>
      <c r="BR130" s="4" t="str">
        <f>"1932"</f>
        <v>1932</v>
      </c>
      <c r="BS130" s="4" t="str">
        <f>"55,00"</f>
        <v>55,00</v>
      </c>
      <c r="BT130" s="4" t="str">
        <f>"2021-2023"</f>
        <v>2021-2023</v>
      </c>
      <c r="BU130" s="4" t="str">
        <f t="shared" si="73"/>
        <v>нет</v>
      </c>
      <c r="BV130" s="4" t="str">
        <f t="shared" si="121"/>
        <v>x</v>
      </c>
      <c r="BW130" s="4" t="str">
        <f t="shared" si="121"/>
        <v>x</v>
      </c>
      <c r="BX130" s="4" t="str">
        <f t="shared" si="121"/>
        <v>x</v>
      </c>
      <c r="BY130" s="4" t="str">
        <f t="shared" si="120"/>
        <v>нет</v>
      </c>
      <c r="BZ130" s="4" t="str">
        <f t="shared" si="134"/>
        <v>x</v>
      </c>
      <c r="CA130" s="4" t="str">
        <f t="shared" si="134"/>
        <v>x</v>
      </c>
      <c r="CB130" s="4" t="str">
        <f t="shared" si="134"/>
        <v>x</v>
      </c>
      <c r="CC130" s="4" t="str">
        <f>"1932"</f>
        <v>1932</v>
      </c>
      <c r="CD130" s="4" t="str">
        <f>"65,00"</f>
        <v>65,00</v>
      </c>
      <c r="CE130" s="4" t="str">
        <f>"2021-2023"</f>
        <v>2021-2023</v>
      </c>
      <c r="CF130" s="4" t="str">
        <f>"1932"</f>
        <v>1932</v>
      </c>
      <c r="CG130" s="4" t="str">
        <f>"55,00"</f>
        <v>55,00</v>
      </c>
      <c r="CH130" s="4" t="str">
        <f>"2021-2023"</f>
        <v>2021-2023</v>
      </c>
      <c r="CI130" s="4" t="str">
        <f>"56,00"</f>
        <v>56,00</v>
      </c>
      <c r="CJ130" s="4" t="str">
        <f>"2015-2017"</f>
        <v>2015-2017</v>
      </c>
    </row>
    <row r="131" spans="1:88" ht="11.25" customHeight="1">
      <c r="A131" s="45" t="str">
        <f>"24.118"</f>
        <v>24.118</v>
      </c>
      <c r="B131" s="46" t="str">
        <f>"г. Харовск, ул.Кирова, д.12"</f>
        <v>г. Харовск, ул.Кирова, д.12</v>
      </c>
      <c r="C131" s="6" t="str">
        <f>"1951"</f>
        <v>1951</v>
      </c>
      <c r="D131" s="4" t="str">
        <f>"1951"</f>
        <v>1951</v>
      </c>
      <c r="E131" s="4" t="str">
        <f>"35,00"</f>
        <v>35,00</v>
      </c>
      <c r="F131" s="4" t="str">
        <f>"2028-2030"</f>
        <v>2028-2030</v>
      </c>
      <c r="G131" s="4" t="str">
        <f t="shared" si="133"/>
        <v>нет</v>
      </c>
      <c r="H131" s="4" t="str">
        <f>""</f>
        <v/>
      </c>
      <c r="I131" s="4" t="str">
        <f>""</f>
        <v/>
      </c>
      <c r="J131" s="4" t="str">
        <f>""</f>
        <v/>
      </c>
      <c r="K131" s="4" t="str">
        <f t="shared" si="72"/>
        <v>нет</v>
      </c>
      <c r="L131" s="4" t="str">
        <f>""</f>
        <v/>
      </c>
      <c r="M131" s="4" t="str">
        <f>""</f>
        <v/>
      </c>
      <c r="N131" s="4" t="str">
        <f>""</f>
        <v/>
      </c>
      <c r="O131" s="7" t="str">
        <f>"1951"</f>
        <v>1951</v>
      </c>
      <c r="P131" s="4" t="str">
        <f>"35,00"</f>
        <v>35,00</v>
      </c>
      <c r="Q131" s="4" t="str">
        <f>"2016-2018"</f>
        <v>2016-2018</v>
      </c>
      <c r="R131" s="4" t="str">
        <f>"да"</f>
        <v>да</v>
      </c>
      <c r="S131" s="4" t="str">
        <f>"2011"</f>
        <v>2011</v>
      </c>
      <c r="T131" s="4" t="str">
        <f>"33,00"</f>
        <v>33,00</v>
      </c>
      <c r="U131" s="4" t="str">
        <f>"2016-2018"</f>
        <v>2016-2018</v>
      </c>
      <c r="V131" s="4" t="str">
        <f t="shared" si="139"/>
        <v>нет</v>
      </c>
      <c r="W131" s="4" t="str">
        <f>""</f>
        <v/>
      </c>
      <c r="X131" s="4" t="str">
        <f>""</f>
        <v/>
      </c>
      <c r="Y131" s="8" t="str">
        <f>""</f>
        <v/>
      </c>
      <c r="Z131" s="4" t="str">
        <f t="shared" si="130"/>
        <v>х</v>
      </c>
      <c r="AA131" s="4" t="str">
        <f t="shared" si="130"/>
        <v>х</v>
      </c>
      <c r="AB131" s="4" t="str">
        <f t="shared" si="130"/>
        <v>х</v>
      </c>
      <c r="AC131" s="4" t="str">
        <f t="shared" si="130"/>
        <v>х</v>
      </c>
      <c r="AD131" s="4" t="str">
        <f t="shared" si="130"/>
        <v>х</v>
      </c>
      <c r="AE131" s="4" t="str">
        <f t="shared" si="136"/>
        <v>х</v>
      </c>
      <c r="AF131" s="4" t="str">
        <f t="shared" si="131"/>
        <v>х</v>
      </c>
      <c r="AG131" s="4" t="str">
        <f t="shared" si="131"/>
        <v>х</v>
      </c>
      <c r="AH131" s="4" t="str">
        <f t="shared" si="131"/>
        <v>х</v>
      </c>
      <c r="AI131" s="4" t="str">
        <f t="shared" si="131"/>
        <v>х</v>
      </c>
      <c r="AJ131" s="4" t="str">
        <f t="shared" si="131"/>
        <v>х</v>
      </c>
      <c r="AK131" s="7" t="str">
        <f>"1951"</f>
        <v>1951</v>
      </c>
      <c r="AL131" s="4" t="str">
        <f>"35,00"</f>
        <v>35,00</v>
      </c>
      <c r="AM131" s="4" t="str">
        <f>"2028-2030"</f>
        <v>2028-2030</v>
      </c>
      <c r="AN131" s="4" t="str">
        <f>"нет"</f>
        <v>нет</v>
      </c>
      <c r="AO131" s="4" t="str">
        <f>""</f>
        <v/>
      </c>
      <c r="AP131" s="4" t="str">
        <f>""</f>
        <v/>
      </c>
      <c r="AQ131" s="4" t="str">
        <f>""</f>
        <v/>
      </c>
      <c r="AR131" s="4" t="str">
        <f t="shared" si="140"/>
        <v>нет</v>
      </c>
      <c r="AS131" s="4" t="str">
        <f>""</f>
        <v/>
      </c>
      <c r="AT131" s="4" t="str">
        <f>""</f>
        <v/>
      </c>
      <c r="AU131" s="4" t="str">
        <f>""</f>
        <v/>
      </c>
      <c r="AV131" s="4" t="str">
        <f>"1951"</f>
        <v>1951</v>
      </c>
      <c r="AW131" s="4" t="str">
        <f>"35,00"</f>
        <v>35,00</v>
      </c>
      <c r="AX131" s="4" t="str">
        <f>"2028-2030"</f>
        <v>2028-2030</v>
      </c>
      <c r="AY131" s="4" t="str">
        <f t="shared" si="141"/>
        <v>нет</v>
      </c>
      <c r="AZ131" s="4" t="str">
        <f>""</f>
        <v/>
      </c>
      <c r="BA131" s="4" t="str">
        <f>""</f>
        <v/>
      </c>
      <c r="BB131" s="4" t="str">
        <f>""</f>
        <v/>
      </c>
      <c r="BC131" s="4" t="str">
        <f t="shared" si="142"/>
        <v>нет</v>
      </c>
      <c r="BD131" s="4" t="str">
        <f>""</f>
        <v/>
      </c>
      <c r="BE131" s="4" t="str">
        <f>""</f>
        <v/>
      </c>
      <c r="BF131" s="4" t="str">
        <f>""</f>
        <v/>
      </c>
      <c r="BG131" s="4" t="str">
        <f>"1951"</f>
        <v>1951</v>
      </c>
      <c r="BH131" s="4" t="str">
        <f>"35,00"</f>
        <v>35,00</v>
      </c>
      <c r="BI131" s="4" t="str">
        <f>"2028-2030"</f>
        <v>2028-2030</v>
      </c>
      <c r="BJ131" s="4" t="str">
        <f t="shared" si="143"/>
        <v>нет</v>
      </c>
      <c r="BK131" s="4" t="str">
        <f>""</f>
        <v/>
      </c>
      <c r="BL131" s="4" t="str">
        <f>""</f>
        <v/>
      </c>
      <c r="BM131" s="4" t="str">
        <f>""</f>
        <v/>
      </c>
      <c r="BN131" s="4" t="str">
        <f t="shared" si="144"/>
        <v>нет</v>
      </c>
      <c r="BO131" s="4" t="str">
        <f>""</f>
        <v/>
      </c>
      <c r="BP131" s="4" t="str">
        <f>""</f>
        <v/>
      </c>
      <c r="BQ131" s="4" t="str">
        <f>""</f>
        <v/>
      </c>
      <c r="BR131" s="4" t="str">
        <f>"1951"</f>
        <v>1951</v>
      </c>
      <c r="BS131" s="4" t="str">
        <f>"50,00"</f>
        <v>50,00</v>
      </c>
      <c r="BT131" s="4" t="str">
        <f>"2016-2018"</f>
        <v>2016-2018</v>
      </c>
      <c r="BU131" s="4" t="str">
        <f t="shared" si="73"/>
        <v>нет</v>
      </c>
      <c r="BV131" s="4" t="str">
        <f t="shared" si="121"/>
        <v>x</v>
      </c>
      <c r="BW131" s="4" t="str">
        <f t="shared" si="121"/>
        <v>x</v>
      </c>
      <c r="BX131" s="4" t="str">
        <f t="shared" si="121"/>
        <v>x</v>
      </c>
      <c r="BY131" s="4" t="str">
        <f t="shared" si="120"/>
        <v>нет</v>
      </c>
      <c r="BZ131" s="4" t="str">
        <f t="shared" si="134"/>
        <v>x</v>
      </c>
      <c r="CA131" s="4" t="str">
        <f t="shared" si="134"/>
        <v>x</v>
      </c>
      <c r="CB131" s="4" t="str">
        <f t="shared" si="134"/>
        <v>x</v>
      </c>
      <c r="CC131" s="4" t="str">
        <f>"1951"</f>
        <v>1951</v>
      </c>
      <c r="CD131" s="4" t="str">
        <f>"60,00"</f>
        <v>60,00</v>
      </c>
      <c r="CE131" s="4" t="str">
        <f>"2016-2018"</f>
        <v>2016-2018</v>
      </c>
      <c r="CF131" s="4" t="str">
        <f>"1951"</f>
        <v>1951</v>
      </c>
      <c r="CG131" s="4" t="str">
        <f>"55,00"</f>
        <v>55,00</v>
      </c>
      <c r="CH131" s="4" t="str">
        <f>"2028-2030"</f>
        <v>2028-2030</v>
      </c>
      <c r="CI131" s="4" t="str">
        <f>"46,00"</f>
        <v>46,00</v>
      </c>
      <c r="CJ131" s="4" t="str">
        <f>"2016-2018"</f>
        <v>2016-2018</v>
      </c>
    </row>
    <row r="132" spans="1:88" ht="11.25" customHeight="1">
      <c r="A132" s="45" t="str">
        <f>"24.119"</f>
        <v>24.119</v>
      </c>
      <c r="B132" s="46" t="str">
        <f>"г. Харовск, ул.Кирова, д.13"</f>
        <v>г. Харовск, ул.Кирова, д.13</v>
      </c>
      <c r="C132" s="6" t="str">
        <f>"1958"</f>
        <v>1958</v>
      </c>
      <c r="D132" s="4" t="str">
        <f>"1958"</f>
        <v>1958</v>
      </c>
      <c r="E132" s="4" t="str">
        <f>"55,00"</f>
        <v>55,00</v>
      </c>
      <c r="F132" s="4" t="str">
        <f>"2028-2030"</f>
        <v>2028-2030</v>
      </c>
      <c r="G132" s="4" t="str">
        <f t="shared" si="133"/>
        <v>нет</v>
      </c>
      <c r="H132" s="4" t="str">
        <f>""</f>
        <v/>
      </c>
      <c r="I132" s="4" t="str">
        <f>""</f>
        <v/>
      </c>
      <c r="J132" s="4" t="str">
        <f>""</f>
        <v/>
      </c>
      <c r="K132" s="4" t="str">
        <f t="shared" si="72"/>
        <v>нет</v>
      </c>
      <c r="L132" s="4" t="str">
        <f>""</f>
        <v/>
      </c>
      <c r="M132" s="4" t="str">
        <f>""</f>
        <v/>
      </c>
      <c r="N132" s="4" t="str">
        <f>""</f>
        <v/>
      </c>
      <c r="O132" s="7" t="str">
        <f>"1958"</f>
        <v>1958</v>
      </c>
      <c r="P132" s="4" t="str">
        <f>"55,00"</f>
        <v>55,00</v>
      </c>
      <c r="Q132" s="4" t="str">
        <f>"2018-2020"</f>
        <v>2018-2020</v>
      </c>
      <c r="R132" s="4" t="str">
        <f>"нет"</f>
        <v>нет</v>
      </c>
      <c r="S132" s="4" t="str">
        <f>""</f>
        <v/>
      </c>
      <c r="T132" s="4" t="str">
        <f>""</f>
        <v/>
      </c>
      <c r="U132" s="4" t="str">
        <f>"2018-2020"</f>
        <v>2018-2020</v>
      </c>
      <c r="V132" s="4" t="str">
        <f t="shared" si="139"/>
        <v>нет</v>
      </c>
      <c r="W132" s="4" t="str">
        <f>""</f>
        <v/>
      </c>
      <c r="X132" s="4" t="str">
        <f>""</f>
        <v/>
      </c>
      <c r="Y132" s="8" t="str">
        <f>""</f>
        <v/>
      </c>
      <c r="Z132" s="4" t="str">
        <f t="shared" si="130"/>
        <v>х</v>
      </c>
      <c r="AA132" s="4" t="str">
        <f t="shared" si="130"/>
        <v>х</v>
      </c>
      <c r="AB132" s="4" t="str">
        <f t="shared" si="130"/>
        <v>х</v>
      </c>
      <c r="AC132" s="4" t="str">
        <f t="shared" si="130"/>
        <v>х</v>
      </c>
      <c r="AD132" s="4" t="str">
        <f t="shared" si="130"/>
        <v>х</v>
      </c>
      <c r="AE132" s="4" t="str">
        <f t="shared" si="136"/>
        <v>х</v>
      </c>
      <c r="AF132" s="4" t="str">
        <f t="shared" si="131"/>
        <v>х</v>
      </c>
      <c r="AG132" s="4" t="str">
        <f t="shared" si="131"/>
        <v>х</v>
      </c>
      <c r="AH132" s="4" t="str">
        <f t="shared" si="131"/>
        <v>х</v>
      </c>
      <c r="AI132" s="4" t="str">
        <f t="shared" si="131"/>
        <v>х</v>
      </c>
      <c r="AJ132" s="4" t="str">
        <f t="shared" si="131"/>
        <v>х</v>
      </c>
      <c r="AK132" s="7" t="str">
        <f>"1958"</f>
        <v>1958</v>
      </c>
      <c r="AL132" s="4" t="str">
        <f>"55,00"</f>
        <v>55,00</v>
      </c>
      <c r="AM132" s="4" t="str">
        <f>"2028-2030"</f>
        <v>2028-2030</v>
      </c>
      <c r="AN132" s="4" t="str">
        <f>"нет"</f>
        <v>нет</v>
      </c>
      <c r="AO132" s="4" t="str">
        <f>""</f>
        <v/>
      </c>
      <c r="AP132" s="4" t="str">
        <f>""</f>
        <v/>
      </c>
      <c r="AQ132" s="4" t="str">
        <f>""</f>
        <v/>
      </c>
      <c r="AR132" s="4" t="str">
        <f t="shared" si="140"/>
        <v>нет</v>
      </c>
      <c r="AS132" s="4" t="str">
        <f>""</f>
        <v/>
      </c>
      <c r="AT132" s="4" t="str">
        <f>""</f>
        <v/>
      </c>
      <c r="AU132" s="4" t="str">
        <f>""</f>
        <v/>
      </c>
      <c r="AV132" s="4" t="str">
        <f>"1958"</f>
        <v>1958</v>
      </c>
      <c r="AW132" s="4" t="str">
        <f>"55,00"</f>
        <v>55,00</v>
      </c>
      <c r="AX132" s="4" t="str">
        <f>"2028-2030"</f>
        <v>2028-2030</v>
      </c>
      <c r="AY132" s="4" t="str">
        <f t="shared" si="141"/>
        <v>нет</v>
      </c>
      <c r="AZ132" s="4" t="str">
        <f>""</f>
        <v/>
      </c>
      <c r="BA132" s="4" t="str">
        <f>""</f>
        <v/>
      </c>
      <c r="BB132" s="4" t="str">
        <f>""</f>
        <v/>
      </c>
      <c r="BC132" s="4" t="str">
        <f t="shared" si="142"/>
        <v>нет</v>
      </c>
      <c r="BD132" s="4" t="str">
        <f>""</f>
        <v/>
      </c>
      <c r="BE132" s="4" t="str">
        <f>""</f>
        <v/>
      </c>
      <c r="BF132" s="4" t="str">
        <f>""</f>
        <v/>
      </c>
      <c r="BG132" s="4" t="str">
        <f>"1958"</f>
        <v>1958</v>
      </c>
      <c r="BH132" s="4" t="str">
        <f>"55,00"</f>
        <v>55,00</v>
      </c>
      <c r="BI132" s="4" t="str">
        <f>"2028-2030"</f>
        <v>2028-2030</v>
      </c>
      <c r="BJ132" s="4" t="str">
        <f t="shared" si="143"/>
        <v>нет</v>
      </c>
      <c r="BK132" s="4" t="str">
        <f>""</f>
        <v/>
      </c>
      <c r="BL132" s="4" t="str">
        <f>""</f>
        <v/>
      </c>
      <c r="BM132" s="4" t="str">
        <f>""</f>
        <v/>
      </c>
      <c r="BN132" s="4" t="str">
        <f t="shared" si="144"/>
        <v>нет</v>
      </c>
      <c r="BO132" s="4" t="str">
        <f>""</f>
        <v/>
      </c>
      <c r="BP132" s="4" t="str">
        <f>""</f>
        <v/>
      </c>
      <c r="BQ132" s="4" t="str">
        <f>""</f>
        <v/>
      </c>
      <c r="BR132" s="4" t="str">
        <f>"1958"</f>
        <v>1958</v>
      </c>
      <c r="BS132" s="4" t="str">
        <f>"55,00"</f>
        <v>55,00</v>
      </c>
      <c r="BT132" s="4" t="str">
        <f>"2018-2020"</f>
        <v>2018-2020</v>
      </c>
      <c r="BU132" s="4" t="str">
        <f t="shared" si="73"/>
        <v>нет</v>
      </c>
      <c r="BV132" s="4" t="str">
        <f t="shared" si="121"/>
        <v>x</v>
      </c>
      <c r="BW132" s="4" t="str">
        <f t="shared" si="121"/>
        <v>x</v>
      </c>
      <c r="BX132" s="4" t="str">
        <f t="shared" si="121"/>
        <v>x</v>
      </c>
      <c r="BY132" s="4" t="str">
        <f t="shared" si="120"/>
        <v>нет</v>
      </c>
      <c r="BZ132" s="4" t="str">
        <f t="shared" si="134"/>
        <v>x</v>
      </c>
      <c r="CA132" s="4" t="str">
        <f t="shared" si="134"/>
        <v>x</v>
      </c>
      <c r="CB132" s="4" t="str">
        <f t="shared" si="134"/>
        <v>x</v>
      </c>
      <c r="CC132" s="4" t="str">
        <f>"1958"</f>
        <v>1958</v>
      </c>
      <c r="CD132" s="4" t="str">
        <f>"60,00"</f>
        <v>60,00</v>
      </c>
      <c r="CE132" s="4" t="str">
        <f>"2018-2020"</f>
        <v>2018-2020</v>
      </c>
      <c r="CF132" s="4" t="str">
        <f>"1958"</f>
        <v>1958</v>
      </c>
      <c r="CG132" s="4" t="str">
        <f>"50,00"</f>
        <v>50,00</v>
      </c>
      <c r="CH132" s="4" t="str">
        <f>"2028-2030"</f>
        <v>2028-2030</v>
      </c>
      <c r="CI132" s="4" t="str">
        <f>"50,00"</f>
        <v>50,00</v>
      </c>
      <c r="CJ132" s="4" t="str">
        <f>"2018-2020"</f>
        <v>2018-2020</v>
      </c>
    </row>
    <row r="133" spans="1:88" ht="11.25" customHeight="1">
      <c r="A133" s="45" t="str">
        <f>"24.120"</f>
        <v>24.120</v>
      </c>
      <c r="B133" s="46" t="str">
        <f>"г. Харовск, ул.Кирова, д.14"</f>
        <v>г. Харовск, ул.Кирова, д.14</v>
      </c>
      <c r="C133" s="6" t="str">
        <f>"1958"</f>
        <v>1958</v>
      </c>
      <c r="D133" s="4" t="str">
        <f>"1958"</f>
        <v>1958</v>
      </c>
      <c r="E133" s="4" t="str">
        <f>"40,00"</f>
        <v>40,00</v>
      </c>
      <c r="F133" s="4" t="str">
        <f>"2018-2020"</f>
        <v>2018-2020</v>
      </c>
      <c r="G133" s="4" t="str">
        <f t="shared" si="133"/>
        <v>нет</v>
      </c>
      <c r="H133" s="4" t="str">
        <f>""</f>
        <v/>
      </c>
      <c r="I133" s="4" t="str">
        <f>""</f>
        <v/>
      </c>
      <c r="J133" s="4" t="str">
        <f>""</f>
        <v/>
      </c>
      <c r="K133" s="4" t="str">
        <f t="shared" si="72"/>
        <v>нет</v>
      </c>
      <c r="L133" s="4" t="str">
        <f>""</f>
        <v/>
      </c>
      <c r="M133" s="4" t="str">
        <f>""</f>
        <v/>
      </c>
      <c r="N133" s="4" t="str">
        <f>""</f>
        <v/>
      </c>
      <c r="O133" s="7" t="str">
        <f>"1958"</f>
        <v>1958</v>
      </c>
      <c r="P133" s="4" t="str">
        <f>"40,00"</f>
        <v>40,00</v>
      </c>
      <c r="Q133" s="4" t="str">
        <f>"2018-2020"</f>
        <v>2018-2020</v>
      </c>
      <c r="R133" s="4" t="str">
        <f>"нет"</f>
        <v>нет</v>
      </c>
      <c r="S133" s="4" t="str">
        <f>""</f>
        <v/>
      </c>
      <c r="T133" s="4" t="str">
        <f>""</f>
        <v/>
      </c>
      <c r="U133" s="4" t="str">
        <f>"2018-2020"</f>
        <v>2018-2020</v>
      </c>
      <c r="V133" s="4" t="str">
        <f t="shared" si="139"/>
        <v>нет</v>
      </c>
      <c r="W133" s="4" t="str">
        <f>""</f>
        <v/>
      </c>
      <c r="X133" s="4" t="str">
        <f>""</f>
        <v/>
      </c>
      <c r="Y133" s="8" t="str">
        <f>""</f>
        <v/>
      </c>
      <c r="Z133" s="4" t="str">
        <f t="shared" si="130"/>
        <v>х</v>
      </c>
      <c r="AA133" s="4" t="str">
        <f t="shared" si="130"/>
        <v>х</v>
      </c>
      <c r="AB133" s="4" t="str">
        <f t="shared" si="130"/>
        <v>х</v>
      </c>
      <c r="AC133" s="4" t="str">
        <f t="shared" si="130"/>
        <v>х</v>
      </c>
      <c r="AD133" s="4" t="str">
        <f t="shared" si="130"/>
        <v>х</v>
      </c>
      <c r="AE133" s="4" t="str">
        <f t="shared" si="136"/>
        <v>х</v>
      </c>
      <c r="AF133" s="4" t="str">
        <f t="shared" si="131"/>
        <v>х</v>
      </c>
      <c r="AG133" s="4" t="str">
        <f t="shared" si="131"/>
        <v>х</v>
      </c>
      <c r="AH133" s="4" t="str">
        <f t="shared" si="131"/>
        <v>х</v>
      </c>
      <c r="AI133" s="4" t="str">
        <f t="shared" si="131"/>
        <v>х</v>
      </c>
      <c r="AJ133" s="4" t="str">
        <f t="shared" si="131"/>
        <v>х</v>
      </c>
      <c r="AK133" s="7" t="str">
        <f>"1958"</f>
        <v>1958</v>
      </c>
      <c r="AL133" s="4" t="str">
        <f>"40,00"</f>
        <v>40,00</v>
      </c>
      <c r="AM133" s="4" t="str">
        <f>"2028-2030"</f>
        <v>2028-2030</v>
      </c>
      <c r="AN133" s="4" t="str">
        <f>"нет"</f>
        <v>нет</v>
      </c>
      <c r="AO133" s="4" t="str">
        <f>""</f>
        <v/>
      </c>
      <c r="AP133" s="4" t="str">
        <f>""</f>
        <v/>
      </c>
      <c r="AQ133" s="4" t="str">
        <f>""</f>
        <v/>
      </c>
      <c r="AR133" s="4" t="str">
        <f t="shared" si="140"/>
        <v>нет</v>
      </c>
      <c r="AS133" s="4" t="str">
        <f>""</f>
        <v/>
      </c>
      <c r="AT133" s="4" t="str">
        <f>""</f>
        <v/>
      </c>
      <c r="AU133" s="4" t="str">
        <f>""</f>
        <v/>
      </c>
      <c r="AV133" s="4" t="str">
        <f>"1958"</f>
        <v>1958</v>
      </c>
      <c r="AW133" s="4" t="str">
        <f>"40,00"</f>
        <v>40,00</v>
      </c>
      <c r="AX133" s="4" t="str">
        <f>"2028-2030"</f>
        <v>2028-2030</v>
      </c>
      <c r="AY133" s="4" t="str">
        <f t="shared" si="141"/>
        <v>нет</v>
      </c>
      <c r="AZ133" s="4" t="str">
        <f>""</f>
        <v/>
      </c>
      <c r="BA133" s="4" t="str">
        <f>""</f>
        <v/>
      </c>
      <c r="BB133" s="4" t="str">
        <f>""</f>
        <v/>
      </c>
      <c r="BC133" s="4" t="str">
        <f t="shared" si="142"/>
        <v>нет</v>
      </c>
      <c r="BD133" s="4" t="str">
        <f>""</f>
        <v/>
      </c>
      <c r="BE133" s="4" t="str">
        <f>""</f>
        <v/>
      </c>
      <c r="BF133" s="4" t="str">
        <f>""</f>
        <v/>
      </c>
      <c r="BG133" s="4" t="str">
        <f>"1958"</f>
        <v>1958</v>
      </c>
      <c r="BH133" s="4" t="str">
        <f>"40,00"</f>
        <v>40,00</v>
      </c>
      <c r="BI133" s="4" t="str">
        <f>"2028-2030"</f>
        <v>2028-2030</v>
      </c>
      <c r="BJ133" s="4" t="str">
        <f t="shared" si="143"/>
        <v>нет</v>
      </c>
      <c r="BK133" s="4" t="str">
        <f>""</f>
        <v/>
      </c>
      <c r="BL133" s="4" t="str">
        <f>""</f>
        <v/>
      </c>
      <c r="BM133" s="4" t="str">
        <f>""</f>
        <v/>
      </c>
      <c r="BN133" s="4" t="str">
        <f t="shared" si="144"/>
        <v>нет</v>
      </c>
      <c r="BO133" s="4" t="str">
        <f>""</f>
        <v/>
      </c>
      <c r="BP133" s="4" t="str">
        <f>""</f>
        <v/>
      </c>
      <c r="BQ133" s="4" t="str">
        <f>""</f>
        <v/>
      </c>
      <c r="BR133" s="4" t="str">
        <f>"1958"</f>
        <v>1958</v>
      </c>
      <c r="BS133" s="4" t="str">
        <f>"45,00"</f>
        <v>45,00</v>
      </c>
      <c r="BT133" s="4" t="str">
        <f>"2018-2020"</f>
        <v>2018-2020</v>
      </c>
      <c r="BU133" s="4" t="str">
        <f t="shared" si="73"/>
        <v>нет</v>
      </c>
      <c r="BV133" s="4" t="str">
        <f t="shared" si="121"/>
        <v>x</v>
      </c>
      <c r="BW133" s="4" t="str">
        <f t="shared" si="121"/>
        <v>x</v>
      </c>
      <c r="BX133" s="4" t="str">
        <f t="shared" si="121"/>
        <v>x</v>
      </c>
      <c r="BY133" s="4" t="str">
        <f t="shared" si="120"/>
        <v>нет</v>
      </c>
      <c r="BZ133" s="4" t="str">
        <f t="shared" si="134"/>
        <v>x</v>
      </c>
      <c r="CA133" s="4" t="str">
        <f t="shared" si="134"/>
        <v>x</v>
      </c>
      <c r="CB133" s="4" t="str">
        <f t="shared" si="134"/>
        <v>x</v>
      </c>
      <c r="CC133" s="4" t="str">
        <f>"1958"</f>
        <v>1958</v>
      </c>
      <c r="CD133" s="4" t="str">
        <f>"60,00"</f>
        <v>60,00</v>
      </c>
      <c r="CE133" s="4" t="str">
        <f>"2018-2020"</f>
        <v>2018-2020</v>
      </c>
      <c r="CF133" s="4" t="str">
        <f>"1958"</f>
        <v>1958</v>
      </c>
      <c r="CG133" s="4" t="str">
        <f>"50,00"</f>
        <v>50,00</v>
      </c>
      <c r="CH133" s="4" t="str">
        <f>"2028-2030"</f>
        <v>2028-2030</v>
      </c>
      <c r="CI133" s="4" t="str">
        <f>"46,00"</f>
        <v>46,00</v>
      </c>
      <c r="CJ133" s="4" t="str">
        <f>"2018-2020"</f>
        <v>2018-2020</v>
      </c>
    </row>
    <row r="134" spans="1:88" ht="11.25" customHeight="1">
      <c r="A134" s="45" t="str">
        <f>"24.121"</f>
        <v>24.121</v>
      </c>
      <c r="B134" s="46" t="str">
        <f>"г. Харовск, ул.Кирова, д.16"</f>
        <v>г. Харовск, ул.Кирова, д.16</v>
      </c>
      <c r="C134" s="6" t="str">
        <f>"1957"</f>
        <v>1957</v>
      </c>
      <c r="D134" s="4" t="str">
        <f>"1957"</f>
        <v>1957</v>
      </c>
      <c r="E134" s="4" t="str">
        <f>"35,00"</f>
        <v>35,00</v>
      </c>
      <c r="F134" s="4" t="str">
        <f>"2017-2019"</f>
        <v>2017-2019</v>
      </c>
      <c r="G134" s="4" t="str">
        <f t="shared" si="133"/>
        <v>нет</v>
      </c>
      <c r="H134" s="4" t="str">
        <f>""</f>
        <v/>
      </c>
      <c r="I134" s="4" t="str">
        <f>""</f>
        <v/>
      </c>
      <c r="J134" s="4" t="str">
        <f>""</f>
        <v/>
      </c>
      <c r="K134" s="4" t="str">
        <f t="shared" si="72"/>
        <v>нет</v>
      </c>
      <c r="L134" s="4" t="str">
        <f>""</f>
        <v/>
      </c>
      <c r="M134" s="4" t="str">
        <f>""</f>
        <v/>
      </c>
      <c r="N134" s="4" t="str">
        <f>""</f>
        <v/>
      </c>
      <c r="O134" s="7" t="str">
        <f>"1957"</f>
        <v>1957</v>
      </c>
      <c r="P134" s="4" t="str">
        <f>"35,00"</f>
        <v>35,00</v>
      </c>
      <c r="Q134" s="4" t="str">
        <f>"2017-2019"</f>
        <v>2017-2019</v>
      </c>
      <c r="R134" s="4" t="str">
        <f>"да"</f>
        <v>да</v>
      </c>
      <c r="S134" s="4" t="str">
        <f>"2011"</f>
        <v>2011</v>
      </c>
      <c r="T134" s="4" t="str">
        <f>"50,00"</f>
        <v>50,00</v>
      </c>
      <c r="U134" s="4" t="str">
        <f>"2017-2019"</f>
        <v>2017-2019</v>
      </c>
      <c r="V134" s="4" t="str">
        <f t="shared" si="139"/>
        <v>нет</v>
      </c>
      <c r="W134" s="4" t="str">
        <f>""</f>
        <v/>
      </c>
      <c r="X134" s="4" t="str">
        <f>""</f>
        <v/>
      </c>
      <c r="Y134" s="8" t="str">
        <f>""</f>
        <v/>
      </c>
      <c r="Z134" s="4" t="str">
        <f t="shared" si="130"/>
        <v>х</v>
      </c>
      <c r="AA134" s="4" t="str">
        <f t="shared" si="130"/>
        <v>х</v>
      </c>
      <c r="AB134" s="4" t="str">
        <f t="shared" si="130"/>
        <v>х</v>
      </c>
      <c r="AC134" s="4" t="str">
        <f t="shared" si="130"/>
        <v>х</v>
      </c>
      <c r="AD134" s="4" t="str">
        <f t="shared" si="130"/>
        <v>х</v>
      </c>
      <c r="AE134" s="4" t="str">
        <f t="shared" si="136"/>
        <v>х</v>
      </c>
      <c r="AF134" s="4" t="str">
        <f t="shared" si="131"/>
        <v>х</v>
      </c>
      <c r="AG134" s="4" t="str">
        <f t="shared" si="131"/>
        <v>х</v>
      </c>
      <c r="AH134" s="4" t="str">
        <f t="shared" si="131"/>
        <v>х</v>
      </c>
      <c r="AI134" s="4" t="str">
        <f t="shared" si="131"/>
        <v>х</v>
      </c>
      <c r="AJ134" s="4" t="str">
        <f t="shared" si="131"/>
        <v>х</v>
      </c>
      <c r="AK134" s="7" t="str">
        <f>"1957"</f>
        <v>1957</v>
      </c>
      <c r="AL134" s="4" t="str">
        <f>"35,00"</f>
        <v>35,00</v>
      </c>
      <c r="AM134" s="4" t="str">
        <f>"2027-2029"</f>
        <v>2027-2029</v>
      </c>
      <c r="AN134" s="4" t="str">
        <f>"нет"</f>
        <v>нет</v>
      </c>
      <c r="AO134" s="4" t="str">
        <f>""</f>
        <v/>
      </c>
      <c r="AP134" s="4" t="str">
        <f>""</f>
        <v/>
      </c>
      <c r="AQ134" s="4" t="str">
        <f>""</f>
        <v/>
      </c>
      <c r="AR134" s="4" t="str">
        <f t="shared" si="140"/>
        <v>нет</v>
      </c>
      <c r="AS134" s="4" t="str">
        <f>""</f>
        <v/>
      </c>
      <c r="AT134" s="4" t="str">
        <f>""</f>
        <v/>
      </c>
      <c r="AU134" s="4" t="str">
        <f>""</f>
        <v/>
      </c>
      <c r="AV134" s="4" t="str">
        <f>"1957"</f>
        <v>1957</v>
      </c>
      <c r="AW134" s="4" t="str">
        <f>"35,00"</f>
        <v>35,00</v>
      </c>
      <c r="AX134" s="4" t="str">
        <f>"2027-2029"</f>
        <v>2027-2029</v>
      </c>
      <c r="AY134" s="4" t="str">
        <f t="shared" si="141"/>
        <v>нет</v>
      </c>
      <c r="AZ134" s="4" t="str">
        <f>""</f>
        <v/>
      </c>
      <c r="BA134" s="4" t="str">
        <f>""</f>
        <v/>
      </c>
      <c r="BB134" s="4" t="str">
        <f>""</f>
        <v/>
      </c>
      <c r="BC134" s="4" t="str">
        <f t="shared" si="142"/>
        <v>нет</v>
      </c>
      <c r="BD134" s="4" t="str">
        <f>""</f>
        <v/>
      </c>
      <c r="BE134" s="4" t="str">
        <f>""</f>
        <v/>
      </c>
      <c r="BF134" s="4" t="str">
        <f>""</f>
        <v/>
      </c>
      <c r="BG134" s="4" t="str">
        <f>"1957"</f>
        <v>1957</v>
      </c>
      <c r="BH134" s="4" t="str">
        <f>"35,00"</f>
        <v>35,00</v>
      </c>
      <c r="BI134" s="4" t="str">
        <f>"2027-2029"</f>
        <v>2027-2029</v>
      </c>
      <c r="BJ134" s="4" t="str">
        <f t="shared" si="143"/>
        <v>нет</v>
      </c>
      <c r="BK134" s="4" t="str">
        <f>""</f>
        <v/>
      </c>
      <c r="BL134" s="4" t="str">
        <f>""</f>
        <v/>
      </c>
      <c r="BM134" s="4" t="str">
        <f>""</f>
        <v/>
      </c>
      <c r="BN134" s="4" t="str">
        <f t="shared" si="144"/>
        <v>нет</v>
      </c>
      <c r="BO134" s="4" t="str">
        <f>""</f>
        <v/>
      </c>
      <c r="BP134" s="4" t="str">
        <f>""</f>
        <v/>
      </c>
      <c r="BQ134" s="4" t="str">
        <f>""</f>
        <v/>
      </c>
      <c r="BR134" s="4" t="str">
        <f>"1957"</f>
        <v>1957</v>
      </c>
      <c r="BS134" s="4" t="str">
        <f>"15,00"</f>
        <v>15,00</v>
      </c>
      <c r="BT134" s="4" t="str">
        <f>"2027-2029"</f>
        <v>2027-2029</v>
      </c>
      <c r="BU134" s="4" t="str">
        <f t="shared" si="73"/>
        <v>нет</v>
      </c>
      <c r="BV134" s="4" t="str">
        <f t="shared" ref="BV134:BX153" si="145">"x"</f>
        <v>x</v>
      </c>
      <c r="BW134" s="4" t="str">
        <f t="shared" si="145"/>
        <v>x</v>
      </c>
      <c r="BX134" s="4" t="str">
        <f t="shared" si="145"/>
        <v>x</v>
      </c>
      <c r="BY134" s="4" t="str">
        <f t="shared" si="120"/>
        <v>нет</v>
      </c>
      <c r="BZ134" s="4" t="str">
        <f t="shared" si="134"/>
        <v>x</v>
      </c>
      <c r="CA134" s="4" t="str">
        <f t="shared" si="134"/>
        <v>x</v>
      </c>
      <c r="CB134" s="4" t="str">
        <f t="shared" si="134"/>
        <v>x</v>
      </c>
      <c r="CC134" s="4" t="str">
        <f>"1957"</f>
        <v>1957</v>
      </c>
      <c r="CD134" s="4" t="str">
        <f>"50,00"</f>
        <v>50,00</v>
      </c>
      <c r="CE134" s="4" t="str">
        <f>"2027-2029"</f>
        <v>2027-2029</v>
      </c>
      <c r="CF134" s="4" t="str">
        <f>"1957"</f>
        <v>1957</v>
      </c>
      <c r="CG134" s="4" t="str">
        <f>"45,00"</f>
        <v>45,00</v>
      </c>
      <c r="CH134" s="4" t="str">
        <f>"2027-2029"</f>
        <v>2027-2029</v>
      </c>
      <c r="CI134" s="4" t="str">
        <f>"40,00"</f>
        <v>40,00</v>
      </c>
      <c r="CJ134" s="4" t="str">
        <f>"2017-2019"</f>
        <v>2017-2019</v>
      </c>
    </row>
    <row r="135" spans="1:88" ht="11.25" customHeight="1">
      <c r="A135" s="45" t="str">
        <f>"24.122"</f>
        <v>24.122</v>
      </c>
      <c r="B135" s="46" t="str">
        <f>"г. Харовск, ул.Кирова, д.17"</f>
        <v>г. Харовск, ул.Кирова, д.17</v>
      </c>
      <c r="C135" s="6" t="str">
        <f>"1958"</f>
        <v>1958</v>
      </c>
      <c r="D135" s="4" t="str">
        <f>"1958"</f>
        <v>1958</v>
      </c>
      <c r="E135" s="4" t="str">
        <f>"40,00"</f>
        <v>40,00</v>
      </c>
      <c r="F135" s="4" t="str">
        <f>"2028-2030"</f>
        <v>2028-2030</v>
      </c>
      <c r="G135" s="4" t="str">
        <f t="shared" si="133"/>
        <v>нет</v>
      </c>
      <c r="H135" s="4" t="str">
        <f>""</f>
        <v/>
      </c>
      <c r="I135" s="4" t="str">
        <f>""</f>
        <v/>
      </c>
      <c r="J135" s="4" t="str">
        <f>""</f>
        <v/>
      </c>
      <c r="K135" s="4" t="str">
        <f t="shared" si="72"/>
        <v>нет</v>
      </c>
      <c r="L135" s="4" t="str">
        <f>""</f>
        <v/>
      </c>
      <c r="M135" s="4" t="str">
        <f>""</f>
        <v/>
      </c>
      <c r="N135" s="4" t="str">
        <f>""</f>
        <v/>
      </c>
      <c r="O135" s="7" t="str">
        <f>"1958"</f>
        <v>1958</v>
      </c>
      <c r="P135" s="4" t="str">
        <f>"40,00"</f>
        <v>40,00</v>
      </c>
      <c r="Q135" s="4" t="str">
        <f>"2018-2020"</f>
        <v>2018-2020</v>
      </c>
      <c r="R135" s="4" t="str">
        <f>"да"</f>
        <v>да</v>
      </c>
      <c r="S135" s="4" t="str">
        <f>"2011"</f>
        <v>2011</v>
      </c>
      <c r="T135" s="4" t="str">
        <f>"50,00"</f>
        <v>50,00</v>
      </c>
      <c r="U135" s="4" t="str">
        <f>"2018-2020"</f>
        <v>2018-2020</v>
      </c>
      <c r="V135" s="4" t="str">
        <f t="shared" si="139"/>
        <v>нет</v>
      </c>
      <c r="W135" s="4" t="str">
        <f>""</f>
        <v/>
      </c>
      <c r="X135" s="4" t="str">
        <f>""</f>
        <v/>
      </c>
      <c r="Y135" s="8" t="str">
        <f>""</f>
        <v/>
      </c>
      <c r="Z135" s="4" t="str">
        <f t="shared" si="130"/>
        <v>х</v>
      </c>
      <c r="AA135" s="4" t="str">
        <f t="shared" si="130"/>
        <v>х</v>
      </c>
      <c r="AB135" s="4" t="str">
        <f t="shared" si="130"/>
        <v>х</v>
      </c>
      <c r="AC135" s="4" t="str">
        <f t="shared" si="130"/>
        <v>х</v>
      </c>
      <c r="AD135" s="4" t="str">
        <f t="shared" si="130"/>
        <v>х</v>
      </c>
      <c r="AE135" s="4" t="str">
        <f t="shared" si="136"/>
        <v>х</v>
      </c>
      <c r="AF135" s="4" t="str">
        <f t="shared" si="131"/>
        <v>х</v>
      </c>
      <c r="AG135" s="4" t="str">
        <f t="shared" si="131"/>
        <v>х</v>
      </c>
      <c r="AH135" s="4" t="str">
        <f t="shared" si="131"/>
        <v>х</v>
      </c>
      <c r="AI135" s="4" t="str">
        <f t="shared" si="131"/>
        <v>х</v>
      </c>
      <c r="AJ135" s="4" t="str">
        <f t="shared" si="131"/>
        <v>х</v>
      </c>
      <c r="AK135" s="7" t="str">
        <f>"1958"</f>
        <v>1958</v>
      </c>
      <c r="AL135" s="4" t="str">
        <f>"40,00"</f>
        <v>40,00</v>
      </c>
      <c r="AM135" s="4" t="str">
        <f>"2028-2030"</f>
        <v>2028-2030</v>
      </c>
      <c r="AN135" s="4" t="str">
        <f>"нет"</f>
        <v>нет</v>
      </c>
      <c r="AO135" s="4" t="str">
        <f>""</f>
        <v/>
      </c>
      <c r="AP135" s="4" t="str">
        <f>""</f>
        <v/>
      </c>
      <c r="AQ135" s="4" t="str">
        <f>""</f>
        <v/>
      </c>
      <c r="AR135" s="4" t="str">
        <f t="shared" si="140"/>
        <v>нет</v>
      </c>
      <c r="AS135" s="4" t="str">
        <f>""</f>
        <v/>
      </c>
      <c r="AT135" s="4" t="str">
        <f>""</f>
        <v/>
      </c>
      <c r="AU135" s="4" t="str">
        <f>""</f>
        <v/>
      </c>
      <c r="AV135" s="4" t="str">
        <f>"1958"</f>
        <v>1958</v>
      </c>
      <c r="AW135" s="4" t="str">
        <f>"40,00"</f>
        <v>40,00</v>
      </c>
      <c r="AX135" s="4" t="str">
        <f>"2028-2030"</f>
        <v>2028-2030</v>
      </c>
      <c r="AY135" s="4" t="str">
        <f t="shared" si="141"/>
        <v>нет</v>
      </c>
      <c r="AZ135" s="4" t="str">
        <f>""</f>
        <v/>
      </c>
      <c r="BA135" s="4" t="str">
        <f>""</f>
        <v/>
      </c>
      <c r="BB135" s="4" t="str">
        <f>""</f>
        <v/>
      </c>
      <c r="BC135" s="4" t="str">
        <f t="shared" si="142"/>
        <v>нет</v>
      </c>
      <c r="BD135" s="4" t="str">
        <f>""</f>
        <v/>
      </c>
      <c r="BE135" s="4" t="str">
        <f>""</f>
        <v/>
      </c>
      <c r="BF135" s="4" t="str">
        <f>""</f>
        <v/>
      </c>
      <c r="BG135" s="4" t="str">
        <f>"1958"</f>
        <v>1958</v>
      </c>
      <c r="BH135" s="4" t="str">
        <f>"40,00"</f>
        <v>40,00</v>
      </c>
      <c r="BI135" s="4" t="str">
        <f>"2028-2030"</f>
        <v>2028-2030</v>
      </c>
      <c r="BJ135" s="4" t="str">
        <f t="shared" si="143"/>
        <v>нет</v>
      </c>
      <c r="BK135" s="4" t="str">
        <f>""</f>
        <v/>
      </c>
      <c r="BL135" s="4" t="str">
        <f>""</f>
        <v/>
      </c>
      <c r="BM135" s="4" t="str">
        <f>""</f>
        <v/>
      </c>
      <c r="BN135" s="4" t="str">
        <f t="shared" si="144"/>
        <v>нет</v>
      </c>
      <c r="BO135" s="4" t="str">
        <f>""</f>
        <v/>
      </c>
      <c r="BP135" s="4" t="str">
        <f>""</f>
        <v/>
      </c>
      <c r="BQ135" s="4" t="str">
        <f>""</f>
        <v/>
      </c>
      <c r="BR135" s="4" t="str">
        <f>"1958"</f>
        <v>1958</v>
      </c>
      <c r="BS135" s="4" t="str">
        <f>"50,00"</f>
        <v>50,00</v>
      </c>
      <c r="BT135" s="4" t="str">
        <f>"2018-2020"</f>
        <v>2018-2020</v>
      </c>
      <c r="BU135" s="4" t="str">
        <f t="shared" si="73"/>
        <v>нет</v>
      </c>
      <c r="BV135" s="4" t="str">
        <f t="shared" si="145"/>
        <v>x</v>
      </c>
      <c r="BW135" s="4" t="str">
        <f t="shared" si="145"/>
        <v>x</v>
      </c>
      <c r="BX135" s="4" t="str">
        <f t="shared" si="145"/>
        <v>x</v>
      </c>
      <c r="BY135" s="4" t="str">
        <f t="shared" si="120"/>
        <v>нет</v>
      </c>
      <c r="BZ135" s="4" t="str">
        <f t="shared" si="134"/>
        <v>x</v>
      </c>
      <c r="CA135" s="4" t="str">
        <f t="shared" si="134"/>
        <v>x</v>
      </c>
      <c r="CB135" s="4" t="str">
        <f t="shared" si="134"/>
        <v>x</v>
      </c>
      <c r="CC135" s="4" t="str">
        <f>"1958"</f>
        <v>1958</v>
      </c>
      <c r="CD135" s="4" t="str">
        <f>"50,00"</f>
        <v>50,00</v>
      </c>
      <c r="CE135" s="4" t="str">
        <f>"2018-2020"</f>
        <v>2018-2020</v>
      </c>
      <c r="CF135" s="4" t="str">
        <f>"1958"</f>
        <v>1958</v>
      </c>
      <c r="CG135" s="4" t="str">
        <f>"50,00"</f>
        <v>50,00</v>
      </c>
      <c r="CH135" s="4" t="str">
        <f>"2028-2030"</f>
        <v>2028-2030</v>
      </c>
      <c r="CI135" s="4" t="str">
        <f>"43,00"</f>
        <v>43,00</v>
      </c>
      <c r="CJ135" s="4" t="str">
        <f>"2018-2020"</f>
        <v>2018-2020</v>
      </c>
    </row>
    <row r="136" spans="1:88" ht="11.25" customHeight="1">
      <c r="A136" s="45" t="str">
        <f>"24.123"</f>
        <v>24.123</v>
      </c>
      <c r="B136" s="46" t="str">
        <f>"г. Харовск, ул.Кирова, д.18"</f>
        <v>г. Харовск, ул.Кирова, д.18</v>
      </c>
      <c r="C136" s="6" t="str">
        <f t="shared" ref="C136:D138" si="146">"1959"</f>
        <v>1959</v>
      </c>
      <c r="D136" s="4" t="str">
        <f t="shared" si="146"/>
        <v>1959</v>
      </c>
      <c r="E136" s="4" t="str">
        <f>"35,00"</f>
        <v>35,00</v>
      </c>
      <c r="F136" s="4" t="str">
        <f>"2018-2020"</f>
        <v>2018-2020</v>
      </c>
      <c r="G136" s="4" t="str">
        <f t="shared" si="133"/>
        <v>нет</v>
      </c>
      <c r="H136" s="4" t="str">
        <f>""</f>
        <v/>
      </c>
      <c r="I136" s="4" t="str">
        <f>""</f>
        <v/>
      </c>
      <c r="J136" s="4" t="str">
        <f>""</f>
        <v/>
      </c>
      <c r="K136" s="4" t="str">
        <f t="shared" si="72"/>
        <v>нет</v>
      </c>
      <c r="L136" s="4" t="str">
        <f>""</f>
        <v/>
      </c>
      <c r="M136" s="4" t="str">
        <f>""</f>
        <v/>
      </c>
      <c r="N136" s="4" t="str">
        <f>""</f>
        <v/>
      </c>
      <c r="O136" s="7" t="str">
        <f>"1959"</f>
        <v>1959</v>
      </c>
      <c r="P136" s="4" t="str">
        <f>"35,00"</f>
        <v>35,00</v>
      </c>
      <c r="Q136" s="4" t="str">
        <f>"2018-2020"</f>
        <v>2018-2020</v>
      </c>
      <c r="R136" s="4" t="str">
        <f>"да"</f>
        <v>да</v>
      </c>
      <c r="S136" s="4" t="str">
        <f>"2010"</f>
        <v>2010</v>
      </c>
      <c r="T136" s="4" t="str">
        <f>"75,00"</f>
        <v>75,00</v>
      </c>
      <c r="U136" s="4" t="str">
        <f>"2018-2020"</f>
        <v>2018-2020</v>
      </c>
      <c r="V136" s="4" t="str">
        <f t="shared" si="139"/>
        <v>нет</v>
      </c>
      <c r="W136" s="4" t="str">
        <f>""</f>
        <v/>
      </c>
      <c r="X136" s="4" t="str">
        <f>""</f>
        <v/>
      </c>
      <c r="Y136" s="8" t="str">
        <f>""</f>
        <v/>
      </c>
      <c r="Z136" s="4" t="str">
        <f t="shared" ref="Z136:AD145" si="147">"х"</f>
        <v>х</v>
      </c>
      <c r="AA136" s="4" t="str">
        <f t="shared" si="147"/>
        <v>х</v>
      </c>
      <c r="AB136" s="4" t="str">
        <f t="shared" si="147"/>
        <v>х</v>
      </c>
      <c r="AC136" s="4" t="str">
        <f t="shared" si="147"/>
        <v>х</v>
      </c>
      <c r="AD136" s="4" t="str">
        <f t="shared" si="147"/>
        <v>х</v>
      </c>
      <c r="AE136" s="4" t="str">
        <f t="shared" si="136"/>
        <v>х</v>
      </c>
      <c r="AF136" s="4" t="str">
        <f t="shared" ref="AF136:AJ145" si="148">"х"</f>
        <v>х</v>
      </c>
      <c r="AG136" s="4" t="str">
        <f t="shared" si="148"/>
        <v>х</v>
      </c>
      <c r="AH136" s="4" t="str">
        <f t="shared" si="148"/>
        <v>х</v>
      </c>
      <c r="AI136" s="4" t="str">
        <f t="shared" si="148"/>
        <v>х</v>
      </c>
      <c r="AJ136" s="4" t="str">
        <f t="shared" si="148"/>
        <v>х</v>
      </c>
      <c r="AK136" s="7" t="str">
        <f>"1959"</f>
        <v>1959</v>
      </c>
      <c r="AL136" s="4" t="str">
        <f>"35,00"</f>
        <v>35,00</v>
      </c>
      <c r="AM136" s="4" t="str">
        <f>"2028-2030"</f>
        <v>2028-2030</v>
      </c>
      <c r="AN136" s="4" t="str">
        <f>"да"</f>
        <v>да</v>
      </c>
      <c r="AO136" s="4" t="str">
        <f>"2013"</f>
        <v>2013</v>
      </c>
      <c r="AP136" s="4" t="str">
        <f>"1,00"</f>
        <v>1,00</v>
      </c>
      <c r="AQ136" s="4" t="str">
        <f>"2028-2030"</f>
        <v>2028-2030</v>
      </c>
      <c r="AR136" s="4" t="str">
        <f t="shared" si="140"/>
        <v>нет</v>
      </c>
      <c r="AS136" s="4" t="str">
        <f>""</f>
        <v/>
      </c>
      <c r="AT136" s="4" t="str">
        <f>""</f>
        <v/>
      </c>
      <c r="AU136" s="4" t="str">
        <f>""</f>
        <v/>
      </c>
      <c r="AV136" s="4" t="str">
        <f>"1959"</f>
        <v>1959</v>
      </c>
      <c r="AW136" s="4" t="str">
        <f>"35,00"</f>
        <v>35,00</v>
      </c>
      <c r="AX136" s="4" t="str">
        <f>"2028-2030"</f>
        <v>2028-2030</v>
      </c>
      <c r="AY136" s="4" t="str">
        <f t="shared" si="141"/>
        <v>нет</v>
      </c>
      <c r="AZ136" s="4" t="str">
        <f>""</f>
        <v/>
      </c>
      <c r="BA136" s="4" t="str">
        <f>""</f>
        <v/>
      </c>
      <c r="BB136" s="4" t="str">
        <f>""</f>
        <v/>
      </c>
      <c r="BC136" s="4" t="str">
        <f t="shared" si="142"/>
        <v>нет</v>
      </c>
      <c r="BD136" s="4" t="str">
        <f>""</f>
        <v/>
      </c>
      <c r="BE136" s="4" t="str">
        <f>""</f>
        <v/>
      </c>
      <c r="BF136" s="4" t="str">
        <f>""</f>
        <v/>
      </c>
      <c r="BG136" s="4" t="str">
        <f>"1959"</f>
        <v>1959</v>
      </c>
      <c r="BH136" s="4" t="str">
        <f>"35,00"</f>
        <v>35,00</v>
      </c>
      <c r="BI136" s="4" t="str">
        <f>"2028-2030"</f>
        <v>2028-2030</v>
      </c>
      <c r="BJ136" s="4" t="str">
        <f t="shared" si="143"/>
        <v>нет</v>
      </c>
      <c r="BK136" s="4" t="str">
        <f>""</f>
        <v/>
      </c>
      <c r="BL136" s="4" t="str">
        <f>""</f>
        <v/>
      </c>
      <c r="BM136" s="4" t="str">
        <f>""</f>
        <v/>
      </c>
      <c r="BN136" s="4" t="str">
        <f t="shared" si="144"/>
        <v>нет</v>
      </c>
      <c r="BO136" s="4" t="str">
        <f>""</f>
        <v/>
      </c>
      <c r="BP136" s="4" t="str">
        <f>""</f>
        <v/>
      </c>
      <c r="BQ136" s="4" t="str">
        <f>""</f>
        <v/>
      </c>
      <c r="BR136" s="4" t="str">
        <f>"1959"</f>
        <v>1959</v>
      </c>
      <c r="BS136" s="4" t="str">
        <f>"50,00"</f>
        <v>50,00</v>
      </c>
      <c r="BT136" s="4" t="str">
        <f>"2028-2030"</f>
        <v>2028-2030</v>
      </c>
      <c r="BU136" s="4" t="str">
        <f t="shared" si="73"/>
        <v>нет</v>
      </c>
      <c r="BV136" s="4" t="str">
        <f t="shared" si="145"/>
        <v>x</v>
      </c>
      <c r="BW136" s="4" t="str">
        <f t="shared" si="145"/>
        <v>x</v>
      </c>
      <c r="BX136" s="4" t="str">
        <f t="shared" si="145"/>
        <v>x</v>
      </c>
      <c r="BY136" s="4" t="str">
        <f t="shared" si="120"/>
        <v>нет</v>
      </c>
      <c r="BZ136" s="4" t="str">
        <f t="shared" si="134"/>
        <v>x</v>
      </c>
      <c r="CA136" s="4" t="str">
        <f t="shared" si="134"/>
        <v>x</v>
      </c>
      <c r="CB136" s="4" t="str">
        <f t="shared" si="134"/>
        <v>x</v>
      </c>
      <c r="CC136" s="4" t="str">
        <f>"1959"</f>
        <v>1959</v>
      </c>
      <c r="CD136" s="4" t="str">
        <f>"50,00"</f>
        <v>50,00</v>
      </c>
      <c r="CE136" s="4" t="str">
        <f>"2028-2030"</f>
        <v>2028-2030</v>
      </c>
      <c r="CF136" s="4" t="str">
        <f>"1959"</f>
        <v>1959</v>
      </c>
      <c r="CG136" s="4" t="str">
        <f>"50,00"</f>
        <v>50,00</v>
      </c>
      <c r="CH136" s="4" t="str">
        <f>"2028-2030"</f>
        <v>2028-2030</v>
      </c>
      <c r="CI136" s="4" t="str">
        <f>"42,00"</f>
        <v>42,00</v>
      </c>
      <c r="CJ136" s="4" t="str">
        <f>"2018-2020"</f>
        <v>2018-2020</v>
      </c>
    </row>
    <row r="137" spans="1:88" ht="11.25" customHeight="1">
      <c r="A137" s="45" t="str">
        <f>"24.124"</f>
        <v>24.124</v>
      </c>
      <c r="B137" s="46" t="str">
        <f>"г. Харовск, ул.Кирова, д.19"</f>
        <v>г. Харовск, ул.Кирова, д.19</v>
      </c>
      <c r="C137" s="6" t="str">
        <f t="shared" si="146"/>
        <v>1959</v>
      </c>
      <c r="D137" s="4" t="str">
        <f t="shared" si="146"/>
        <v>1959</v>
      </c>
      <c r="E137" s="4" t="str">
        <f>"40,00"</f>
        <v>40,00</v>
      </c>
      <c r="F137" s="4" t="str">
        <f>"2028-2030"</f>
        <v>2028-2030</v>
      </c>
      <c r="G137" s="4" t="str">
        <f t="shared" si="133"/>
        <v>нет</v>
      </c>
      <c r="H137" s="4" t="str">
        <f>""</f>
        <v/>
      </c>
      <c r="I137" s="4" t="str">
        <f>""</f>
        <v/>
      </c>
      <c r="J137" s="4" t="str">
        <f>""</f>
        <v/>
      </c>
      <c r="K137" s="4" t="str">
        <f t="shared" si="72"/>
        <v>нет</v>
      </c>
      <c r="L137" s="4" t="str">
        <f>""</f>
        <v/>
      </c>
      <c r="M137" s="4" t="str">
        <f>""</f>
        <v/>
      </c>
      <c r="N137" s="4" t="str">
        <f>""</f>
        <v/>
      </c>
      <c r="O137" s="7" t="str">
        <f>"1959"</f>
        <v>1959</v>
      </c>
      <c r="P137" s="4" t="str">
        <f>"40,00"</f>
        <v>40,00</v>
      </c>
      <c r="Q137" s="4" t="str">
        <f>"2018-2020"</f>
        <v>2018-2020</v>
      </c>
      <c r="R137" s="4" t="str">
        <f>"нет"</f>
        <v>нет</v>
      </c>
      <c r="S137" s="4" t="str">
        <f>""</f>
        <v/>
      </c>
      <c r="T137" s="4" t="str">
        <f>""</f>
        <v/>
      </c>
      <c r="U137" s="4" t="str">
        <f>"2018-2020"</f>
        <v>2018-2020</v>
      </c>
      <c r="V137" s="4" t="str">
        <f t="shared" si="139"/>
        <v>нет</v>
      </c>
      <c r="W137" s="4" t="str">
        <f>""</f>
        <v/>
      </c>
      <c r="X137" s="4" t="str">
        <f>""</f>
        <v/>
      </c>
      <c r="Y137" s="8" t="str">
        <f>""</f>
        <v/>
      </c>
      <c r="Z137" s="4" t="str">
        <f t="shared" si="147"/>
        <v>х</v>
      </c>
      <c r="AA137" s="4" t="str">
        <f t="shared" si="147"/>
        <v>х</v>
      </c>
      <c r="AB137" s="4" t="str">
        <f t="shared" si="147"/>
        <v>х</v>
      </c>
      <c r="AC137" s="4" t="str">
        <f t="shared" si="147"/>
        <v>х</v>
      </c>
      <c r="AD137" s="4" t="str">
        <f t="shared" si="147"/>
        <v>х</v>
      </c>
      <c r="AE137" s="4" t="str">
        <f t="shared" si="136"/>
        <v>х</v>
      </c>
      <c r="AF137" s="4" t="str">
        <f t="shared" si="148"/>
        <v>х</v>
      </c>
      <c r="AG137" s="4" t="str">
        <f t="shared" si="148"/>
        <v>х</v>
      </c>
      <c r="AH137" s="4" t="str">
        <f t="shared" si="148"/>
        <v>х</v>
      </c>
      <c r="AI137" s="4" t="str">
        <f t="shared" si="148"/>
        <v>х</v>
      </c>
      <c r="AJ137" s="4" t="str">
        <f t="shared" si="148"/>
        <v>х</v>
      </c>
      <c r="AK137" s="7" t="str">
        <f>"1959"</f>
        <v>1959</v>
      </c>
      <c r="AL137" s="4" t="str">
        <f>"40,00"</f>
        <v>40,00</v>
      </c>
      <c r="AM137" s="4" t="str">
        <f>"2028-2030"</f>
        <v>2028-2030</v>
      </c>
      <c r="AN137" s="4" t="str">
        <f>"нет"</f>
        <v>нет</v>
      </c>
      <c r="AO137" s="4" t="str">
        <f>""</f>
        <v/>
      </c>
      <c r="AP137" s="4" t="str">
        <f>""</f>
        <v/>
      </c>
      <c r="AQ137" s="4" t="str">
        <f>""</f>
        <v/>
      </c>
      <c r="AR137" s="4" t="str">
        <f t="shared" si="140"/>
        <v>нет</v>
      </c>
      <c r="AS137" s="4" t="str">
        <f>""</f>
        <v/>
      </c>
      <c r="AT137" s="4" t="str">
        <f>""</f>
        <v/>
      </c>
      <c r="AU137" s="4" t="str">
        <f>""</f>
        <v/>
      </c>
      <c r="AV137" s="4" t="str">
        <f>"1959"</f>
        <v>1959</v>
      </c>
      <c r="AW137" s="4" t="str">
        <f>"40,00"</f>
        <v>40,00</v>
      </c>
      <c r="AX137" s="4" t="str">
        <f>"2028-2030"</f>
        <v>2028-2030</v>
      </c>
      <c r="AY137" s="4" t="str">
        <f t="shared" si="141"/>
        <v>нет</v>
      </c>
      <c r="AZ137" s="4" t="str">
        <f>""</f>
        <v/>
      </c>
      <c r="BA137" s="4" t="str">
        <f>""</f>
        <v/>
      </c>
      <c r="BB137" s="4" t="str">
        <f>""</f>
        <v/>
      </c>
      <c r="BC137" s="4" t="str">
        <f t="shared" si="142"/>
        <v>нет</v>
      </c>
      <c r="BD137" s="4" t="str">
        <f>""</f>
        <v/>
      </c>
      <c r="BE137" s="4" t="str">
        <f>""</f>
        <v/>
      </c>
      <c r="BF137" s="4" t="str">
        <f>""</f>
        <v/>
      </c>
      <c r="BG137" s="4" t="str">
        <f>"1959"</f>
        <v>1959</v>
      </c>
      <c r="BH137" s="4" t="str">
        <f>"40,00"</f>
        <v>40,00</v>
      </c>
      <c r="BI137" s="4" t="str">
        <f>"2028-2030"</f>
        <v>2028-2030</v>
      </c>
      <c r="BJ137" s="4" t="str">
        <f t="shared" si="143"/>
        <v>нет</v>
      </c>
      <c r="BK137" s="4" t="str">
        <f>""</f>
        <v/>
      </c>
      <c r="BL137" s="4" t="str">
        <f>""</f>
        <v/>
      </c>
      <c r="BM137" s="4" t="str">
        <f>""</f>
        <v/>
      </c>
      <c r="BN137" s="4" t="str">
        <f t="shared" si="144"/>
        <v>нет</v>
      </c>
      <c r="BO137" s="4" t="str">
        <f>""</f>
        <v/>
      </c>
      <c r="BP137" s="4" t="str">
        <f>""</f>
        <v/>
      </c>
      <c r="BQ137" s="4" t="str">
        <f>""</f>
        <v/>
      </c>
      <c r="BR137" s="4" t="str">
        <f>"1959"</f>
        <v>1959</v>
      </c>
      <c r="BS137" s="4" t="str">
        <f>"50,00"</f>
        <v>50,00</v>
      </c>
      <c r="BT137" s="4" t="str">
        <f>"2018-2020"</f>
        <v>2018-2020</v>
      </c>
      <c r="BU137" s="4" t="str">
        <f t="shared" si="73"/>
        <v>нет</v>
      </c>
      <c r="BV137" s="4" t="str">
        <f t="shared" si="145"/>
        <v>x</v>
      </c>
      <c r="BW137" s="4" t="str">
        <f t="shared" si="145"/>
        <v>x</v>
      </c>
      <c r="BX137" s="4" t="str">
        <f t="shared" si="145"/>
        <v>x</v>
      </c>
      <c r="BY137" s="4" t="str">
        <f t="shared" si="120"/>
        <v>нет</v>
      </c>
      <c r="BZ137" s="4" t="str">
        <f t="shared" si="134"/>
        <v>x</v>
      </c>
      <c r="CA137" s="4" t="str">
        <f t="shared" si="134"/>
        <v>x</v>
      </c>
      <c r="CB137" s="4" t="str">
        <f t="shared" si="134"/>
        <v>x</v>
      </c>
      <c r="CC137" s="4" t="str">
        <f>"1959"</f>
        <v>1959</v>
      </c>
      <c r="CD137" s="4" t="str">
        <f>"50,00"</f>
        <v>50,00</v>
      </c>
      <c r="CE137" s="4" t="str">
        <f>"2018-2020"</f>
        <v>2018-2020</v>
      </c>
      <c r="CF137" s="4" t="str">
        <f>"1959"</f>
        <v>1959</v>
      </c>
      <c r="CG137" s="4" t="str">
        <f>"50,00"</f>
        <v>50,00</v>
      </c>
      <c r="CH137" s="4" t="str">
        <f>"2028-2030"</f>
        <v>2028-2030</v>
      </c>
      <c r="CI137" s="4" t="str">
        <f>"43,00"</f>
        <v>43,00</v>
      </c>
      <c r="CJ137" s="4" t="str">
        <f>"2018-2020"</f>
        <v>2018-2020</v>
      </c>
    </row>
    <row r="138" spans="1:88" ht="11.25" customHeight="1">
      <c r="A138" s="45" t="str">
        <f>"24.125"</f>
        <v>24.125</v>
      </c>
      <c r="B138" s="46" t="str">
        <f>"г. Харовск, ул.Кирова, д.21"</f>
        <v>г. Харовск, ул.Кирова, д.21</v>
      </c>
      <c r="C138" s="6" t="str">
        <f t="shared" si="146"/>
        <v>1959</v>
      </c>
      <c r="D138" s="4" t="str">
        <f t="shared" si="146"/>
        <v>1959</v>
      </c>
      <c r="E138" s="4" t="str">
        <f>"40,00"</f>
        <v>40,00</v>
      </c>
      <c r="F138" s="4" t="str">
        <f>"2028-2030"</f>
        <v>2028-2030</v>
      </c>
      <c r="G138" s="4" t="str">
        <f t="shared" si="133"/>
        <v>нет</v>
      </c>
      <c r="H138" s="4" t="str">
        <f>""</f>
        <v/>
      </c>
      <c r="I138" s="4" t="str">
        <f>""</f>
        <v/>
      </c>
      <c r="J138" s="4" t="str">
        <f>""</f>
        <v/>
      </c>
      <c r="K138" s="4" t="str">
        <f t="shared" si="72"/>
        <v>нет</v>
      </c>
      <c r="L138" s="4" t="str">
        <f>""</f>
        <v/>
      </c>
      <c r="M138" s="4" t="str">
        <f>""</f>
        <v/>
      </c>
      <c r="N138" s="4" t="str">
        <f>""</f>
        <v/>
      </c>
      <c r="O138" s="7" t="str">
        <f>"1959"</f>
        <v>1959</v>
      </c>
      <c r="P138" s="4" t="str">
        <f>"40,00"</f>
        <v>40,00</v>
      </c>
      <c r="Q138" s="4" t="str">
        <f>"2018-2020"</f>
        <v>2018-2020</v>
      </c>
      <c r="R138" s="4" t="str">
        <f>"да"</f>
        <v>да</v>
      </c>
      <c r="S138" s="4" t="str">
        <f>"2012"</f>
        <v>2012</v>
      </c>
      <c r="T138" s="4" t="str">
        <f>"25,00"</f>
        <v>25,00</v>
      </c>
      <c r="U138" s="4" t="str">
        <f>"2018-2020"</f>
        <v>2018-2020</v>
      </c>
      <c r="V138" s="4" t="str">
        <f t="shared" si="139"/>
        <v>нет</v>
      </c>
      <c r="W138" s="4" t="str">
        <f>""</f>
        <v/>
      </c>
      <c r="X138" s="4" t="str">
        <f>""</f>
        <v/>
      </c>
      <c r="Y138" s="8" t="str">
        <f>""</f>
        <v/>
      </c>
      <c r="Z138" s="4" t="str">
        <f t="shared" si="147"/>
        <v>х</v>
      </c>
      <c r="AA138" s="4" t="str">
        <f t="shared" si="147"/>
        <v>х</v>
      </c>
      <c r="AB138" s="4" t="str">
        <f t="shared" si="147"/>
        <v>х</v>
      </c>
      <c r="AC138" s="4" t="str">
        <f t="shared" si="147"/>
        <v>х</v>
      </c>
      <c r="AD138" s="4" t="str">
        <f t="shared" si="147"/>
        <v>х</v>
      </c>
      <c r="AE138" s="4" t="str">
        <f t="shared" si="136"/>
        <v>х</v>
      </c>
      <c r="AF138" s="4" t="str">
        <f t="shared" si="148"/>
        <v>х</v>
      </c>
      <c r="AG138" s="4" t="str">
        <f t="shared" si="148"/>
        <v>х</v>
      </c>
      <c r="AH138" s="4" t="str">
        <f t="shared" si="148"/>
        <v>х</v>
      </c>
      <c r="AI138" s="4" t="str">
        <f t="shared" si="148"/>
        <v>х</v>
      </c>
      <c r="AJ138" s="4" t="str">
        <f t="shared" si="148"/>
        <v>х</v>
      </c>
      <c r="AK138" s="7" t="str">
        <f>"1959"</f>
        <v>1959</v>
      </c>
      <c r="AL138" s="4" t="str">
        <f>"40,00"</f>
        <v>40,00</v>
      </c>
      <c r="AM138" s="4" t="str">
        <f>"2028-2030"</f>
        <v>2028-2030</v>
      </c>
      <c r="AN138" s="4" t="str">
        <f>"нет"</f>
        <v>нет</v>
      </c>
      <c r="AO138" s="4" t="str">
        <f>""</f>
        <v/>
      </c>
      <c r="AP138" s="4" t="str">
        <f>""</f>
        <v/>
      </c>
      <c r="AQ138" s="4" t="str">
        <f>""</f>
        <v/>
      </c>
      <c r="AR138" s="4" t="str">
        <f t="shared" si="140"/>
        <v>нет</v>
      </c>
      <c r="AS138" s="4" t="str">
        <f>""</f>
        <v/>
      </c>
      <c r="AT138" s="4" t="str">
        <f>""</f>
        <v/>
      </c>
      <c r="AU138" s="4" t="str">
        <f>""</f>
        <v/>
      </c>
      <c r="AV138" s="4" t="str">
        <f>"1959"</f>
        <v>1959</v>
      </c>
      <c r="AW138" s="4" t="str">
        <f>"40,00"</f>
        <v>40,00</v>
      </c>
      <c r="AX138" s="4" t="str">
        <f>"2028-2030"</f>
        <v>2028-2030</v>
      </c>
      <c r="AY138" s="4" t="str">
        <f t="shared" si="141"/>
        <v>нет</v>
      </c>
      <c r="AZ138" s="4" t="str">
        <f>""</f>
        <v/>
      </c>
      <c r="BA138" s="4" t="str">
        <f>""</f>
        <v/>
      </c>
      <c r="BB138" s="4" t="str">
        <f>""</f>
        <v/>
      </c>
      <c r="BC138" s="4" t="str">
        <f t="shared" si="142"/>
        <v>нет</v>
      </c>
      <c r="BD138" s="4" t="str">
        <f>""</f>
        <v/>
      </c>
      <c r="BE138" s="4" t="str">
        <f>""</f>
        <v/>
      </c>
      <c r="BF138" s="4" t="str">
        <f>""</f>
        <v/>
      </c>
      <c r="BG138" s="4" t="str">
        <f>"1959"</f>
        <v>1959</v>
      </c>
      <c r="BH138" s="4" t="str">
        <f>"40,00"</f>
        <v>40,00</v>
      </c>
      <c r="BI138" s="4" t="str">
        <f>"2028-2030"</f>
        <v>2028-2030</v>
      </c>
      <c r="BJ138" s="4" t="str">
        <f t="shared" si="143"/>
        <v>нет</v>
      </c>
      <c r="BK138" s="4" t="str">
        <f>""</f>
        <v/>
      </c>
      <c r="BL138" s="4" t="str">
        <f>""</f>
        <v/>
      </c>
      <c r="BM138" s="4" t="str">
        <f>""</f>
        <v/>
      </c>
      <c r="BN138" s="4" t="str">
        <f t="shared" si="144"/>
        <v>нет</v>
      </c>
      <c r="BO138" s="4" t="str">
        <f>""</f>
        <v/>
      </c>
      <c r="BP138" s="4" t="str">
        <f>""</f>
        <v/>
      </c>
      <c r="BQ138" s="4" t="str">
        <f>""</f>
        <v/>
      </c>
      <c r="BR138" s="4" t="str">
        <f>"1959"</f>
        <v>1959</v>
      </c>
      <c r="BS138" s="4" t="str">
        <f>"45,00"</f>
        <v>45,00</v>
      </c>
      <c r="BT138" s="4" t="str">
        <f>"2018-2020"</f>
        <v>2018-2020</v>
      </c>
      <c r="BU138" s="4" t="str">
        <f t="shared" si="73"/>
        <v>нет</v>
      </c>
      <c r="BV138" s="4" t="str">
        <f t="shared" si="145"/>
        <v>x</v>
      </c>
      <c r="BW138" s="4" t="str">
        <f t="shared" si="145"/>
        <v>x</v>
      </c>
      <c r="BX138" s="4" t="str">
        <f t="shared" si="145"/>
        <v>x</v>
      </c>
      <c r="BY138" s="4" t="str">
        <f t="shared" si="120"/>
        <v>нет</v>
      </c>
      <c r="BZ138" s="4" t="str">
        <f t="shared" si="134"/>
        <v>x</v>
      </c>
      <c r="CA138" s="4" t="str">
        <f t="shared" si="134"/>
        <v>x</v>
      </c>
      <c r="CB138" s="4" t="str">
        <f t="shared" si="134"/>
        <v>x</v>
      </c>
      <c r="CC138" s="4" t="str">
        <f>"1959"</f>
        <v>1959</v>
      </c>
      <c r="CD138" s="4" t="str">
        <f>"45,00"</f>
        <v>45,00</v>
      </c>
      <c r="CE138" s="4" t="str">
        <f>"2018-2020"</f>
        <v>2018-2020</v>
      </c>
      <c r="CF138" s="4" t="str">
        <f>"1959"</f>
        <v>1959</v>
      </c>
      <c r="CG138" s="4" t="str">
        <f>"50,00"</f>
        <v>50,00</v>
      </c>
      <c r="CH138" s="4" t="str">
        <f>"2028-2030"</f>
        <v>2028-2030</v>
      </c>
      <c r="CI138" s="4" t="str">
        <f>"41,00"</f>
        <v>41,00</v>
      </c>
      <c r="CJ138" s="4" t="str">
        <f>"2018-2020"</f>
        <v>2018-2020</v>
      </c>
    </row>
    <row r="139" spans="1:88" ht="11.25" customHeight="1">
      <c r="A139" s="45" t="str">
        <f>"24.126"</f>
        <v>24.126</v>
      </c>
      <c r="B139" s="46" t="str">
        <f>"г. Харовск, ул.Кирова, д.6А"</f>
        <v>г. Харовск, ул.Кирова, д.6А</v>
      </c>
      <c r="C139" s="6" t="str">
        <f>"1952"</f>
        <v>1952</v>
      </c>
      <c r="D139" s="4" t="str">
        <f>"1952"</f>
        <v>1952</v>
      </c>
      <c r="E139" s="4" t="str">
        <f>"20,00"</f>
        <v>20,00</v>
      </c>
      <c r="F139" s="4" t="str">
        <f>"2029-2031"</f>
        <v>2029-2031</v>
      </c>
      <c r="G139" s="4" t="str">
        <f t="shared" si="133"/>
        <v>нет</v>
      </c>
      <c r="H139" s="4" t="str">
        <f>""</f>
        <v/>
      </c>
      <c r="I139" s="4" t="str">
        <f>""</f>
        <v/>
      </c>
      <c r="J139" s="4" t="str">
        <f>""</f>
        <v/>
      </c>
      <c r="K139" s="4" t="str">
        <f t="shared" si="72"/>
        <v>нет</v>
      </c>
      <c r="L139" s="4" t="str">
        <f>""</f>
        <v/>
      </c>
      <c r="M139" s="4" t="str">
        <f>""</f>
        <v/>
      </c>
      <c r="N139" s="4" t="str">
        <f>""</f>
        <v/>
      </c>
      <c r="O139" s="7" t="str">
        <f>"1952"</f>
        <v>1952</v>
      </c>
      <c r="P139" s="4" t="str">
        <f>"20,00"</f>
        <v>20,00</v>
      </c>
      <c r="Q139" s="4" t="str">
        <f>"2029-2031"</f>
        <v>2029-2031</v>
      </c>
      <c r="R139" s="4" t="str">
        <f>"да"</f>
        <v>да</v>
      </c>
      <c r="S139" s="4" t="str">
        <f>"2011"</f>
        <v>2011</v>
      </c>
      <c r="T139" s="4" t="str">
        <f>"50,00"</f>
        <v>50,00</v>
      </c>
      <c r="U139" s="4" t="str">
        <f>"2029-2031"</f>
        <v>2029-2031</v>
      </c>
      <c r="V139" s="4" t="str">
        <f t="shared" si="139"/>
        <v>нет</v>
      </c>
      <c r="W139" s="4" t="str">
        <f>""</f>
        <v/>
      </c>
      <c r="X139" s="4" t="str">
        <f>""</f>
        <v/>
      </c>
      <c r="Y139" s="8" t="str">
        <f>""</f>
        <v/>
      </c>
      <c r="Z139" s="4" t="str">
        <f t="shared" si="147"/>
        <v>х</v>
      </c>
      <c r="AA139" s="4" t="str">
        <f t="shared" si="147"/>
        <v>х</v>
      </c>
      <c r="AB139" s="4" t="str">
        <f t="shared" si="147"/>
        <v>х</v>
      </c>
      <c r="AC139" s="4" t="str">
        <f t="shared" si="147"/>
        <v>х</v>
      </c>
      <c r="AD139" s="4" t="str">
        <f t="shared" si="147"/>
        <v>х</v>
      </c>
      <c r="AE139" s="4" t="str">
        <f t="shared" si="136"/>
        <v>х</v>
      </c>
      <c r="AF139" s="4" t="str">
        <f t="shared" si="148"/>
        <v>х</v>
      </c>
      <c r="AG139" s="4" t="str">
        <f t="shared" si="148"/>
        <v>х</v>
      </c>
      <c r="AH139" s="4" t="str">
        <f t="shared" si="148"/>
        <v>х</v>
      </c>
      <c r="AI139" s="4" t="str">
        <f t="shared" si="148"/>
        <v>х</v>
      </c>
      <c r="AJ139" s="4" t="str">
        <f t="shared" si="148"/>
        <v>х</v>
      </c>
      <c r="AK139" s="7" t="str">
        <f>"1952"</f>
        <v>1952</v>
      </c>
      <c r="AL139" s="4" t="str">
        <f>"20,00"</f>
        <v>20,00</v>
      </c>
      <c r="AM139" s="4" t="str">
        <f>"2029-2031"</f>
        <v>2029-2031</v>
      </c>
      <c r="AN139" s="4" t="str">
        <f>"нет"</f>
        <v>нет</v>
      </c>
      <c r="AO139" s="4" t="str">
        <f>""</f>
        <v/>
      </c>
      <c r="AP139" s="4" t="str">
        <f>""</f>
        <v/>
      </c>
      <c r="AQ139" s="4" t="str">
        <f>""</f>
        <v/>
      </c>
      <c r="AR139" s="4" t="str">
        <f t="shared" si="140"/>
        <v>нет</v>
      </c>
      <c r="AS139" s="4" t="str">
        <f>""</f>
        <v/>
      </c>
      <c r="AT139" s="4" t="str">
        <f>""</f>
        <v/>
      </c>
      <c r="AU139" s="4" t="str">
        <f>""</f>
        <v/>
      </c>
      <c r="AV139" s="4" t="str">
        <f>"1952"</f>
        <v>1952</v>
      </c>
      <c r="AW139" s="4" t="str">
        <f>"20,00"</f>
        <v>20,00</v>
      </c>
      <c r="AX139" s="4" t="str">
        <f>"2029-2031"</f>
        <v>2029-2031</v>
      </c>
      <c r="AY139" s="4" t="str">
        <f t="shared" si="141"/>
        <v>нет</v>
      </c>
      <c r="AZ139" s="4" t="str">
        <f>""</f>
        <v/>
      </c>
      <c r="BA139" s="4" t="str">
        <f>""</f>
        <v/>
      </c>
      <c r="BB139" s="4" t="str">
        <f>""</f>
        <v/>
      </c>
      <c r="BC139" s="4" t="str">
        <f t="shared" si="142"/>
        <v>нет</v>
      </c>
      <c r="BD139" s="4" t="str">
        <f>""</f>
        <v/>
      </c>
      <c r="BE139" s="4" t="str">
        <f>""</f>
        <v/>
      </c>
      <c r="BF139" s="4" t="str">
        <f>""</f>
        <v/>
      </c>
      <c r="BG139" s="4" t="str">
        <f>"1952"</f>
        <v>1952</v>
      </c>
      <c r="BH139" s="4" t="str">
        <f>"20,00"</f>
        <v>20,00</v>
      </c>
      <c r="BI139" s="4" t="str">
        <f>"2029-2031"</f>
        <v>2029-2031</v>
      </c>
      <c r="BJ139" s="4" t="str">
        <f t="shared" si="143"/>
        <v>нет</v>
      </c>
      <c r="BK139" s="4" t="str">
        <f>""</f>
        <v/>
      </c>
      <c r="BL139" s="4" t="str">
        <f>""</f>
        <v/>
      </c>
      <c r="BM139" s="4" t="str">
        <f>""</f>
        <v/>
      </c>
      <c r="BN139" s="4" t="str">
        <f t="shared" si="144"/>
        <v>нет</v>
      </c>
      <c r="BO139" s="4" t="str">
        <f>""</f>
        <v/>
      </c>
      <c r="BP139" s="4" t="str">
        <f>""</f>
        <v/>
      </c>
      <c r="BQ139" s="4" t="str">
        <f>""</f>
        <v/>
      </c>
      <c r="BR139" s="4" t="str">
        <f>"1952"</f>
        <v>1952</v>
      </c>
      <c r="BS139" s="4" t="str">
        <f>"35,00"</f>
        <v>35,00</v>
      </c>
      <c r="BT139" s="4" t="str">
        <f>"2029-2031"</f>
        <v>2029-2031</v>
      </c>
      <c r="BU139" s="4" t="str">
        <f t="shared" si="73"/>
        <v>нет</v>
      </c>
      <c r="BV139" s="4" t="str">
        <f t="shared" si="145"/>
        <v>x</v>
      </c>
      <c r="BW139" s="4" t="str">
        <f t="shared" si="145"/>
        <v>x</v>
      </c>
      <c r="BX139" s="4" t="str">
        <f t="shared" si="145"/>
        <v>x</v>
      </c>
      <c r="BY139" s="4" t="str">
        <f t="shared" si="120"/>
        <v>нет</v>
      </c>
      <c r="BZ139" s="4" t="str">
        <f t="shared" si="134"/>
        <v>x</v>
      </c>
      <c r="CA139" s="4" t="str">
        <f t="shared" si="134"/>
        <v>x</v>
      </c>
      <c r="CB139" s="4" t="str">
        <f t="shared" si="134"/>
        <v>x</v>
      </c>
      <c r="CC139" s="4" t="str">
        <f>"1952"</f>
        <v>1952</v>
      </c>
      <c r="CD139" s="4" t="str">
        <f>"45,00"</f>
        <v>45,00</v>
      </c>
      <c r="CE139" s="4" t="str">
        <f>"2029-2031"</f>
        <v>2029-2031</v>
      </c>
      <c r="CF139" s="4" t="str">
        <f>"1952"</f>
        <v>1952</v>
      </c>
      <c r="CG139" s="4" t="str">
        <f>"40,00"</f>
        <v>40,00</v>
      </c>
      <c r="CH139" s="4" t="str">
        <f>"2029-2031"</f>
        <v>2029-2031</v>
      </c>
      <c r="CI139" s="4" t="str">
        <f>"27,00"</f>
        <v>27,00</v>
      </c>
      <c r="CJ139" s="4" t="str">
        <f>"2029-2031"</f>
        <v>2029-2031</v>
      </c>
    </row>
    <row r="140" spans="1:88" ht="11.25" customHeight="1">
      <c r="A140" s="45" t="str">
        <f>"24.127"</f>
        <v>24.127</v>
      </c>
      <c r="B140" s="46" t="str">
        <f>"г. Харовск, ул.Кирова, д.7"</f>
        <v>г. Харовск, ул.Кирова, д.7</v>
      </c>
      <c r="C140" s="6" t="str">
        <f>"1955"</f>
        <v>1955</v>
      </c>
      <c r="D140" s="4" t="str">
        <f>"1955"</f>
        <v>1955</v>
      </c>
      <c r="E140" s="4" t="str">
        <f>"25,00"</f>
        <v>25,00</v>
      </c>
      <c r="F140" s="4" t="str">
        <f>"2037-2039"</f>
        <v>2037-2039</v>
      </c>
      <c r="G140" s="4" t="str">
        <f t="shared" si="133"/>
        <v>нет</v>
      </c>
      <c r="H140" s="4" t="str">
        <f>""</f>
        <v/>
      </c>
      <c r="I140" s="4" t="str">
        <f>""</f>
        <v/>
      </c>
      <c r="J140" s="4" t="str">
        <f>""</f>
        <v/>
      </c>
      <c r="K140" s="4" t="str">
        <f t="shared" si="72"/>
        <v>нет</v>
      </c>
      <c r="L140" s="4" t="str">
        <f>""</f>
        <v/>
      </c>
      <c r="M140" s="4" t="str">
        <f>""</f>
        <v/>
      </c>
      <c r="N140" s="4" t="str">
        <f>""</f>
        <v/>
      </c>
      <c r="O140" s="7" t="str">
        <f>"2009"</f>
        <v>2009</v>
      </c>
      <c r="P140" s="4" t="str">
        <f>"25,00"</f>
        <v>25,00</v>
      </c>
      <c r="Q140" s="4" t="str">
        <f>"2037-2039"</f>
        <v>2037-2039</v>
      </c>
      <c r="R140" s="4" t="str">
        <f>"да"</f>
        <v>да</v>
      </c>
      <c r="S140" s="4" t="str">
        <f>"2009"</f>
        <v>2009</v>
      </c>
      <c r="T140" s="4" t="str">
        <f>"90,00"</f>
        <v>90,00</v>
      </c>
      <c r="U140" s="4" t="str">
        <f>"2037-2039"</f>
        <v>2037-2039</v>
      </c>
      <c r="V140" s="4" t="str">
        <f t="shared" si="139"/>
        <v>нет</v>
      </c>
      <c r="W140" s="4" t="str">
        <f>""</f>
        <v/>
      </c>
      <c r="X140" s="4" t="str">
        <f>""</f>
        <v/>
      </c>
      <c r="Y140" s="8" t="str">
        <f>""</f>
        <v/>
      </c>
      <c r="Z140" s="4" t="str">
        <f t="shared" si="147"/>
        <v>х</v>
      </c>
      <c r="AA140" s="4" t="str">
        <f t="shared" si="147"/>
        <v>х</v>
      </c>
      <c r="AB140" s="4" t="str">
        <f t="shared" si="147"/>
        <v>х</v>
      </c>
      <c r="AC140" s="4" t="str">
        <f t="shared" si="147"/>
        <v>х</v>
      </c>
      <c r="AD140" s="4" t="str">
        <f t="shared" si="147"/>
        <v>х</v>
      </c>
      <c r="AE140" s="4" t="str">
        <f t="shared" si="136"/>
        <v>х</v>
      </c>
      <c r="AF140" s="4" t="str">
        <f t="shared" si="148"/>
        <v>х</v>
      </c>
      <c r="AG140" s="4" t="str">
        <f t="shared" si="148"/>
        <v>х</v>
      </c>
      <c r="AH140" s="4" t="str">
        <f t="shared" si="148"/>
        <v>х</v>
      </c>
      <c r="AI140" s="4" t="str">
        <f t="shared" si="148"/>
        <v>х</v>
      </c>
      <c r="AJ140" s="4" t="str">
        <f t="shared" si="148"/>
        <v>х</v>
      </c>
      <c r="AK140" s="7" t="str">
        <f>"1955"</f>
        <v>1955</v>
      </c>
      <c r="AL140" s="4" t="str">
        <f>"25,00"</f>
        <v>25,00</v>
      </c>
      <c r="AM140" s="4" t="str">
        <f>"2037-2039"</f>
        <v>2037-2039</v>
      </c>
      <c r="AN140" s="4" t="str">
        <f>"нет"</f>
        <v>нет</v>
      </c>
      <c r="AO140" s="4" t="str">
        <f>""</f>
        <v/>
      </c>
      <c r="AP140" s="4" t="str">
        <f>""</f>
        <v/>
      </c>
      <c r="AQ140" s="4" t="str">
        <f>""</f>
        <v/>
      </c>
      <c r="AR140" s="4" t="str">
        <f t="shared" si="140"/>
        <v>нет</v>
      </c>
      <c r="AS140" s="4" t="str">
        <f>""</f>
        <v/>
      </c>
      <c r="AT140" s="4" t="str">
        <f>""</f>
        <v/>
      </c>
      <c r="AU140" s="4" t="str">
        <f>""</f>
        <v/>
      </c>
      <c r="AV140" s="4" t="str">
        <f>"1955"</f>
        <v>1955</v>
      </c>
      <c r="AW140" s="4" t="str">
        <f>"25,00"</f>
        <v>25,00</v>
      </c>
      <c r="AX140" s="4" t="str">
        <f>"2037-2039"</f>
        <v>2037-2039</v>
      </c>
      <c r="AY140" s="4" t="str">
        <f t="shared" si="141"/>
        <v>нет</v>
      </c>
      <c r="AZ140" s="4" t="str">
        <f>""</f>
        <v/>
      </c>
      <c r="BA140" s="4" t="str">
        <f>""</f>
        <v/>
      </c>
      <c r="BB140" s="4" t="str">
        <f>""</f>
        <v/>
      </c>
      <c r="BC140" s="4" t="str">
        <f t="shared" si="142"/>
        <v>нет</v>
      </c>
      <c r="BD140" s="4" t="str">
        <f>""</f>
        <v/>
      </c>
      <c r="BE140" s="4" t="str">
        <f>""</f>
        <v/>
      </c>
      <c r="BF140" s="4" t="str">
        <f>""</f>
        <v/>
      </c>
      <c r="BG140" s="4" t="str">
        <f>"1955"</f>
        <v>1955</v>
      </c>
      <c r="BH140" s="4" t="str">
        <f>"25,00"</f>
        <v>25,00</v>
      </c>
      <c r="BI140" s="4" t="str">
        <f>"2037-2039"</f>
        <v>2037-2039</v>
      </c>
      <c r="BJ140" s="4" t="str">
        <f t="shared" si="143"/>
        <v>нет</v>
      </c>
      <c r="BK140" s="4" t="str">
        <f>""</f>
        <v/>
      </c>
      <c r="BL140" s="4" t="str">
        <f>""</f>
        <v/>
      </c>
      <c r="BM140" s="4" t="str">
        <f>""</f>
        <v/>
      </c>
      <c r="BN140" s="4" t="str">
        <f t="shared" si="144"/>
        <v>нет</v>
      </c>
      <c r="BO140" s="4" t="str">
        <f>""</f>
        <v/>
      </c>
      <c r="BP140" s="4" t="str">
        <f>""</f>
        <v/>
      </c>
      <c r="BQ140" s="4" t="str">
        <f>""</f>
        <v/>
      </c>
      <c r="BR140" s="4" t="str">
        <f>"1955"</f>
        <v>1955</v>
      </c>
      <c r="BS140" s="4" t="str">
        <f>"25,00"</f>
        <v>25,00</v>
      </c>
      <c r="BT140" s="4" t="str">
        <f>"2037-2039"</f>
        <v>2037-2039</v>
      </c>
      <c r="BU140" s="4" t="str">
        <f t="shared" si="73"/>
        <v>нет</v>
      </c>
      <c r="BV140" s="4" t="str">
        <f t="shared" si="145"/>
        <v>x</v>
      </c>
      <c r="BW140" s="4" t="str">
        <f t="shared" si="145"/>
        <v>x</v>
      </c>
      <c r="BX140" s="4" t="str">
        <f t="shared" si="145"/>
        <v>x</v>
      </c>
      <c r="BY140" s="4" t="str">
        <f t="shared" si="120"/>
        <v>нет</v>
      </c>
      <c r="BZ140" s="4" t="str">
        <f t="shared" si="134"/>
        <v>x</v>
      </c>
      <c r="CA140" s="4" t="str">
        <f t="shared" si="134"/>
        <v>x</v>
      </c>
      <c r="CB140" s="4" t="str">
        <f t="shared" si="134"/>
        <v>x</v>
      </c>
      <c r="CC140" s="4" t="str">
        <f>"2009"</f>
        <v>2009</v>
      </c>
      <c r="CD140" s="4" t="str">
        <f>"35,00"</f>
        <v>35,00</v>
      </c>
      <c r="CE140" s="4" t="str">
        <f>"2037-2039"</f>
        <v>2037-2039</v>
      </c>
      <c r="CF140" s="4" t="str">
        <f>"1955"</f>
        <v>1955</v>
      </c>
      <c r="CG140" s="4" t="str">
        <f>"35,00"</f>
        <v>35,00</v>
      </c>
      <c r="CH140" s="4" t="str">
        <f>"2037-2039"</f>
        <v>2037-2039</v>
      </c>
      <c r="CI140" s="4" t="str">
        <f>"32,00"</f>
        <v>32,00</v>
      </c>
      <c r="CJ140" s="4" t="str">
        <f>"2037-2039"</f>
        <v>2037-2039</v>
      </c>
    </row>
    <row r="141" spans="1:88" ht="11.25" customHeight="1">
      <c r="A141" s="45" t="str">
        <f>"24.128"</f>
        <v>24.128</v>
      </c>
      <c r="B141" s="46" t="str">
        <f>"г. Харовск, ул.Кирова, д.9"</f>
        <v>г. Харовск, ул.Кирова, д.9</v>
      </c>
      <c r="C141" s="6" t="str">
        <f>"1932"</f>
        <v>1932</v>
      </c>
      <c r="D141" s="4" t="str">
        <f>"2013"</f>
        <v>2013</v>
      </c>
      <c r="E141" s="4" t="str">
        <f>"0,00"</f>
        <v>0,00</v>
      </c>
      <c r="F141" s="4" t="str">
        <f>"2038-2040"</f>
        <v>2038-2040</v>
      </c>
      <c r="G141" s="4" t="str">
        <f>"да"</f>
        <v>да</v>
      </c>
      <c r="H141" s="4" t="str">
        <f>"2013"</f>
        <v>2013</v>
      </c>
      <c r="I141" s="4" t="str">
        <f>"0,00"</f>
        <v>0,00</v>
      </c>
      <c r="J141" s="4" t="str">
        <f>"2038-2040"</f>
        <v>2038-2040</v>
      </c>
      <c r="K141" s="4" t="str">
        <f t="shared" si="72"/>
        <v>нет</v>
      </c>
      <c r="L141" s="4" t="str">
        <f>""</f>
        <v/>
      </c>
      <c r="M141" s="4" t="str">
        <f>""</f>
        <v/>
      </c>
      <c r="N141" s="4" t="str">
        <f>""</f>
        <v/>
      </c>
      <c r="O141" s="7" t="str">
        <f>"1932"</f>
        <v>1932</v>
      </c>
      <c r="P141" s="4" t="str">
        <f>"55,00"</f>
        <v>55,00</v>
      </c>
      <c r="Q141" s="4" t="str">
        <f>"2038-2040"</f>
        <v>2038-2040</v>
      </c>
      <c r="R141" s="4" t="str">
        <f>"нет"</f>
        <v>нет</v>
      </c>
      <c r="S141" s="4" t="str">
        <f>""</f>
        <v/>
      </c>
      <c r="T141" s="4" t="str">
        <f>""</f>
        <v/>
      </c>
      <c r="U141" s="4" t="str">
        <f>""</f>
        <v/>
      </c>
      <c r="V141" s="4" t="str">
        <f t="shared" si="139"/>
        <v>нет</v>
      </c>
      <c r="W141" s="4" t="str">
        <f>""</f>
        <v/>
      </c>
      <c r="X141" s="4" t="str">
        <f>""</f>
        <v/>
      </c>
      <c r="Y141" s="8" t="str">
        <f>""</f>
        <v/>
      </c>
      <c r="Z141" s="4" t="str">
        <f t="shared" si="147"/>
        <v>х</v>
      </c>
      <c r="AA141" s="4" t="str">
        <f t="shared" si="147"/>
        <v>х</v>
      </c>
      <c r="AB141" s="4" t="str">
        <f t="shared" si="147"/>
        <v>х</v>
      </c>
      <c r="AC141" s="4" t="str">
        <f t="shared" si="147"/>
        <v>х</v>
      </c>
      <c r="AD141" s="4" t="str">
        <f t="shared" si="147"/>
        <v>х</v>
      </c>
      <c r="AE141" s="4" t="str">
        <f t="shared" si="136"/>
        <v>х</v>
      </c>
      <c r="AF141" s="4" t="str">
        <f t="shared" si="148"/>
        <v>х</v>
      </c>
      <c r="AG141" s="4" t="str">
        <f t="shared" si="148"/>
        <v>х</v>
      </c>
      <c r="AH141" s="4" t="str">
        <f t="shared" si="148"/>
        <v>х</v>
      </c>
      <c r="AI141" s="4" t="str">
        <f t="shared" si="148"/>
        <v>х</v>
      </c>
      <c r="AJ141" s="4" t="str">
        <f t="shared" si="148"/>
        <v>х</v>
      </c>
      <c r="AK141" s="7" t="str">
        <f>"2013"</f>
        <v>2013</v>
      </c>
      <c r="AL141" s="4" t="str">
        <f>"0,00"</f>
        <v>0,00</v>
      </c>
      <c r="AM141" s="4" t="str">
        <f>"2038-2040"</f>
        <v>2038-2040</v>
      </c>
      <c r="AN141" s="4" t="str">
        <f>"да"</f>
        <v>да</v>
      </c>
      <c r="AO141" s="4" t="str">
        <f>"2013"</f>
        <v>2013</v>
      </c>
      <c r="AP141" s="4" t="str">
        <f>"0,00"</f>
        <v>0,00</v>
      </c>
      <c r="AQ141" s="4" t="str">
        <f>"2038-2040"</f>
        <v>2038-2040</v>
      </c>
      <c r="AR141" s="4" t="str">
        <f t="shared" si="140"/>
        <v>нет</v>
      </c>
      <c r="AS141" s="4" t="str">
        <f>""</f>
        <v/>
      </c>
      <c r="AT141" s="4" t="str">
        <f>""</f>
        <v/>
      </c>
      <c r="AU141" s="4" t="str">
        <f>""</f>
        <v/>
      </c>
      <c r="AV141" s="4" t="str">
        <f t="shared" ref="AV141:BF141" si="149">"х"</f>
        <v>х</v>
      </c>
      <c r="AW141" s="4" t="str">
        <f t="shared" si="149"/>
        <v>х</v>
      </c>
      <c r="AX141" s="4" t="str">
        <f t="shared" si="149"/>
        <v>х</v>
      </c>
      <c r="AY141" s="4" t="str">
        <f t="shared" si="149"/>
        <v>х</v>
      </c>
      <c r="AZ141" s="4" t="str">
        <f t="shared" si="149"/>
        <v>х</v>
      </c>
      <c r="BA141" s="4" t="str">
        <f t="shared" si="149"/>
        <v>х</v>
      </c>
      <c r="BB141" s="4" t="str">
        <f t="shared" si="149"/>
        <v>х</v>
      </c>
      <c r="BC141" s="4" t="str">
        <f t="shared" si="149"/>
        <v>х</v>
      </c>
      <c r="BD141" s="4" t="str">
        <f t="shared" si="149"/>
        <v>х</v>
      </c>
      <c r="BE141" s="4" t="str">
        <f t="shared" si="149"/>
        <v>х</v>
      </c>
      <c r="BF141" s="4" t="str">
        <f t="shared" si="149"/>
        <v>х</v>
      </c>
      <c r="BG141" s="4" t="str">
        <f>"2013"</f>
        <v>2013</v>
      </c>
      <c r="BH141" s="4" t="str">
        <f>"0,00"</f>
        <v>0,00</v>
      </c>
      <c r="BI141" s="4" t="str">
        <f>"2038-2040"</f>
        <v>2038-2040</v>
      </c>
      <c r="BJ141" s="4" t="str">
        <f t="shared" si="143"/>
        <v>нет</v>
      </c>
      <c r="BK141" s="4" t="str">
        <f>""</f>
        <v/>
      </c>
      <c r="BL141" s="4" t="str">
        <f>""</f>
        <v/>
      </c>
      <c r="BM141" s="4" t="str">
        <f>""</f>
        <v/>
      </c>
      <c r="BN141" s="4" t="str">
        <f t="shared" si="144"/>
        <v>нет</v>
      </c>
      <c r="BO141" s="4" t="str">
        <f>""</f>
        <v/>
      </c>
      <c r="BP141" s="4" t="str">
        <f>""</f>
        <v/>
      </c>
      <c r="BQ141" s="4" t="str">
        <f>""</f>
        <v/>
      </c>
      <c r="BR141" s="4" t="str">
        <f>"2004"</f>
        <v>2004</v>
      </c>
      <c r="BS141" s="4" t="str">
        <f>"10,00"</f>
        <v>10,00</v>
      </c>
      <c r="BT141" s="4" t="str">
        <f>"2038-2040"</f>
        <v>2038-2040</v>
      </c>
      <c r="BU141" s="4" t="str">
        <f t="shared" si="73"/>
        <v>нет</v>
      </c>
      <c r="BV141" s="4" t="str">
        <f t="shared" si="145"/>
        <v>x</v>
      </c>
      <c r="BW141" s="4" t="str">
        <f t="shared" si="145"/>
        <v>x</v>
      </c>
      <c r="BX141" s="4" t="str">
        <f t="shared" si="145"/>
        <v>x</v>
      </c>
      <c r="BY141" s="4" t="str">
        <f t="shared" si="120"/>
        <v>нет</v>
      </c>
      <c r="BZ141" s="4" t="str">
        <f t="shared" si="134"/>
        <v>x</v>
      </c>
      <c r="CA141" s="4" t="str">
        <f t="shared" si="134"/>
        <v>x</v>
      </c>
      <c r="CB141" s="4" t="str">
        <f t="shared" si="134"/>
        <v>x</v>
      </c>
      <c r="CC141" s="4" t="str">
        <f>"2013"</f>
        <v>2013</v>
      </c>
      <c r="CD141" s="4" t="str">
        <f>"0,00"</f>
        <v>0,00</v>
      </c>
      <c r="CE141" s="4" t="str">
        <f>"2038-2040"</f>
        <v>2038-2040</v>
      </c>
      <c r="CF141" s="4" t="str">
        <f>"2013"</f>
        <v>2013</v>
      </c>
      <c r="CG141" s="4" t="str">
        <f>"0,00"</f>
        <v>0,00</v>
      </c>
      <c r="CH141" s="4" t="str">
        <f>"2038-2040"</f>
        <v>2038-2040</v>
      </c>
      <c r="CI141" s="4" t="str">
        <f>"59,00"</f>
        <v>59,00</v>
      </c>
      <c r="CJ141" s="4" t="str">
        <f>"2038-2040"</f>
        <v>2038-2040</v>
      </c>
    </row>
    <row r="142" spans="1:88" ht="11.25" customHeight="1">
      <c r="A142" s="45" t="str">
        <f>"24.129"</f>
        <v>24.129</v>
      </c>
      <c r="B142" s="46" t="str">
        <f>"г. Харовск, ул.Клубная, д.11"</f>
        <v>г. Харовск, ул.Клубная, д.11</v>
      </c>
      <c r="C142" s="6" t="str">
        <f>"1953"</f>
        <v>1953</v>
      </c>
      <c r="D142" s="4" t="str">
        <f>"1971"</f>
        <v>1971</v>
      </c>
      <c r="E142" s="4" t="str">
        <f>"45,00"</f>
        <v>45,00</v>
      </c>
      <c r="F142" s="4" t="str">
        <f>"2016-2018"</f>
        <v>2016-2018</v>
      </c>
      <c r="G142" s="4" t="str">
        <f t="shared" ref="G142:G161" si="150">"нет"</f>
        <v>нет</v>
      </c>
      <c r="H142" s="4" t="str">
        <f>""</f>
        <v/>
      </c>
      <c r="I142" s="4" t="str">
        <f>""</f>
        <v/>
      </c>
      <c r="J142" s="4" t="str">
        <f>""</f>
        <v/>
      </c>
      <c r="K142" s="4" t="str">
        <f t="shared" ref="K142:K205" si="151">"нет"</f>
        <v>нет</v>
      </c>
      <c r="L142" s="4" t="str">
        <f>""</f>
        <v/>
      </c>
      <c r="M142" s="4" t="str">
        <f>""</f>
        <v/>
      </c>
      <c r="N142" s="4" t="str">
        <f>""</f>
        <v/>
      </c>
      <c r="O142" s="7" t="str">
        <f>"1971"</f>
        <v>1971</v>
      </c>
      <c r="P142" s="4" t="str">
        <f>"45,00"</f>
        <v>45,00</v>
      </c>
      <c r="Q142" s="4" t="str">
        <f>"2016-2018"</f>
        <v>2016-2018</v>
      </c>
      <c r="R142" s="4" t="str">
        <f>"нет"</f>
        <v>нет</v>
      </c>
      <c r="S142" s="4" t="str">
        <f>""</f>
        <v/>
      </c>
      <c r="T142" s="4" t="str">
        <f>""</f>
        <v/>
      </c>
      <c r="U142" s="4" t="str">
        <f>"2016-2018"</f>
        <v>2016-2018</v>
      </c>
      <c r="V142" s="4" t="str">
        <f t="shared" si="139"/>
        <v>нет</v>
      </c>
      <c r="W142" s="4" t="str">
        <f>""</f>
        <v/>
      </c>
      <c r="X142" s="4" t="str">
        <f>""</f>
        <v/>
      </c>
      <c r="Y142" s="8" t="str">
        <f>""</f>
        <v/>
      </c>
      <c r="Z142" s="4" t="str">
        <f t="shared" si="147"/>
        <v>х</v>
      </c>
      <c r="AA142" s="4" t="str">
        <f t="shared" si="147"/>
        <v>х</v>
      </c>
      <c r="AB142" s="4" t="str">
        <f t="shared" si="147"/>
        <v>х</v>
      </c>
      <c r="AC142" s="4" t="str">
        <f t="shared" si="147"/>
        <v>х</v>
      </c>
      <c r="AD142" s="4" t="str">
        <f t="shared" si="147"/>
        <v>х</v>
      </c>
      <c r="AE142" s="4" t="str">
        <f t="shared" si="136"/>
        <v>х</v>
      </c>
      <c r="AF142" s="4" t="str">
        <f t="shared" si="148"/>
        <v>х</v>
      </c>
      <c r="AG142" s="4" t="str">
        <f t="shared" si="148"/>
        <v>х</v>
      </c>
      <c r="AH142" s="4" t="str">
        <f t="shared" si="148"/>
        <v>х</v>
      </c>
      <c r="AI142" s="4" t="str">
        <f t="shared" si="148"/>
        <v>х</v>
      </c>
      <c r="AJ142" s="4" t="str">
        <f t="shared" si="148"/>
        <v>х</v>
      </c>
      <c r="AK142" s="7" t="str">
        <f>"1971"</f>
        <v>1971</v>
      </c>
      <c r="AL142" s="4" t="str">
        <f>"45,00"</f>
        <v>45,00</v>
      </c>
      <c r="AM142" s="4" t="str">
        <f>"2031-2033"</f>
        <v>2031-2033</v>
      </c>
      <c r="AN142" s="4" t="str">
        <f>"нет"</f>
        <v>нет</v>
      </c>
      <c r="AO142" s="4" t="str">
        <f>""</f>
        <v/>
      </c>
      <c r="AP142" s="4" t="str">
        <f>""</f>
        <v/>
      </c>
      <c r="AQ142" s="4" t="str">
        <f>""</f>
        <v/>
      </c>
      <c r="AR142" s="4" t="str">
        <f t="shared" si="140"/>
        <v>нет</v>
      </c>
      <c r="AS142" s="4" t="str">
        <f>""</f>
        <v/>
      </c>
      <c r="AT142" s="4" t="str">
        <f>""</f>
        <v/>
      </c>
      <c r="AU142" s="4" t="str">
        <f>""</f>
        <v/>
      </c>
      <c r="AV142" s="4" t="str">
        <f>"1971"</f>
        <v>1971</v>
      </c>
      <c r="AW142" s="4" t="str">
        <f>"45,00"</f>
        <v>45,00</v>
      </c>
      <c r="AX142" s="4" t="str">
        <f>"2031-2033"</f>
        <v>2031-2033</v>
      </c>
      <c r="AY142" s="4" t="str">
        <f>"нет"</f>
        <v>нет</v>
      </c>
      <c r="AZ142" s="4" t="str">
        <f>""</f>
        <v/>
      </c>
      <c r="BA142" s="4" t="str">
        <f>""</f>
        <v/>
      </c>
      <c r="BB142" s="4" t="str">
        <f>""</f>
        <v/>
      </c>
      <c r="BC142" s="4" t="str">
        <f t="shared" ref="BC142:BC148" si="152">"нет"</f>
        <v>нет</v>
      </c>
      <c r="BD142" s="4" t="str">
        <f>""</f>
        <v/>
      </c>
      <c r="BE142" s="4" t="str">
        <f>""</f>
        <v/>
      </c>
      <c r="BF142" s="4" t="str">
        <f>""</f>
        <v/>
      </c>
      <c r="BG142" s="4" t="str">
        <f>"1971"</f>
        <v>1971</v>
      </c>
      <c r="BH142" s="4" t="str">
        <f>"45,00"</f>
        <v>45,00</v>
      </c>
      <c r="BI142" s="4" t="str">
        <f>"2031-2033"</f>
        <v>2031-2033</v>
      </c>
      <c r="BJ142" s="4" t="str">
        <f t="shared" si="143"/>
        <v>нет</v>
      </c>
      <c r="BK142" s="4" t="str">
        <f>""</f>
        <v/>
      </c>
      <c r="BL142" s="4" t="str">
        <f>""</f>
        <v/>
      </c>
      <c r="BM142" s="4" t="str">
        <f>""</f>
        <v/>
      </c>
      <c r="BN142" s="4" t="str">
        <f t="shared" si="144"/>
        <v>нет</v>
      </c>
      <c r="BO142" s="4" t="str">
        <f>""</f>
        <v/>
      </c>
      <c r="BP142" s="4" t="str">
        <f>""</f>
        <v/>
      </c>
      <c r="BQ142" s="4" t="str">
        <f>""</f>
        <v/>
      </c>
      <c r="BR142" s="4" t="str">
        <f>"1971"</f>
        <v>1971</v>
      </c>
      <c r="BS142" s="4" t="str">
        <f>"65,00"</f>
        <v>65,00</v>
      </c>
      <c r="BT142" s="4" t="str">
        <f>"2016-2018"</f>
        <v>2016-2018</v>
      </c>
      <c r="BU142" s="4" t="str">
        <f t="shared" ref="BU142:BU205" si="153">"нет"</f>
        <v>нет</v>
      </c>
      <c r="BV142" s="4" t="str">
        <f t="shared" si="145"/>
        <v>x</v>
      </c>
      <c r="BW142" s="4" t="str">
        <f t="shared" si="145"/>
        <v>x</v>
      </c>
      <c r="BX142" s="4" t="str">
        <f t="shared" si="145"/>
        <v>x</v>
      </c>
      <c r="BY142" s="4" t="str">
        <f t="shared" ref="BY142:BY169" si="154">"нет"</f>
        <v>нет</v>
      </c>
      <c r="BZ142" s="4" t="str">
        <f t="shared" si="134"/>
        <v>x</v>
      </c>
      <c r="CA142" s="4" t="str">
        <f t="shared" si="134"/>
        <v>x</v>
      </c>
      <c r="CB142" s="4" t="str">
        <f t="shared" si="134"/>
        <v>x</v>
      </c>
      <c r="CC142" s="4" t="str">
        <f>"1971"</f>
        <v>1971</v>
      </c>
      <c r="CD142" s="4" t="str">
        <f>"35,00"</f>
        <v>35,00</v>
      </c>
      <c r="CE142" s="4" t="str">
        <f>"2016-2018"</f>
        <v>2016-2018</v>
      </c>
      <c r="CF142" s="4" t="str">
        <f>"1971"</f>
        <v>1971</v>
      </c>
      <c r="CG142" s="4" t="str">
        <f>"55,00"</f>
        <v>55,00</v>
      </c>
      <c r="CH142" s="4" t="str">
        <f>"2031-2033"</f>
        <v>2031-2033</v>
      </c>
      <c r="CI142" s="4" t="str">
        <f>"58,00"</f>
        <v>58,00</v>
      </c>
      <c r="CJ142" s="4" t="str">
        <f>"2016-2018"</f>
        <v>2016-2018</v>
      </c>
    </row>
    <row r="143" spans="1:88" ht="11.25" customHeight="1">
      <c r="A143" s="45" t="str">
        <f>"24.130"</f>
        <v>24.130</v>
      </c>
      <c r="B143" s="46" t="str">
        <f>"г. Харовск, ул.Клубная, д.13"</f>
        <v>г. Харовск, ул.Клубная, д.13</v>
      </c>
      <c r="C143" s="6" t="str">
        <f>"1953"</f>
        <v>1953</v>
      </c>
      <c r="D143" s="4" t="str">
        <f>"1953"</f>
        <v>1953</v>
      </c>
      <c r="E143" s="4" t="str">
        <f>"10,00"</f>
        <v>10,00</v>
      </c>
      <c r="F143" s="4" t="str">
        <f>"2038-2040"</f>
        <v>2038-2040</v>
      </c>
      <c r="G143" s="4" t="str">
        <f t="shared" si="150"/>
        <v>нет</v>
      </c>
      <c r="H143" s="4" t="str">
        <f>""</f>
        <v/>
      </c>
      <c r="I143" s="4" t="str">
        <f>""</f>
        <v/>
      </c>
      <c r="J143" s="4" t="str">
        <f>""</f>
        <v/>
      </c>
      <c r="K143" s="4" t="str">
        <f t="shared" si="151"/>
        <v>нет</v>
      </c>
      <c r="L143" s="4" t="str">
        <f>""</f>
        <v/>
      </c>
      <c r="M143" s="4" t="str">
        <f>""</f>
        <v/>
      </c>
      <c r="N143" s="4" t="str">
        <f>""</f>
        <v/>
      </c>
      <c r="O143" s="7" t="str">
        <f>"2010"</f>
        <v>2010</v>
      </c>
      <c r="P143" s="4" t="str">
        <f>"10,00"</f>
        <v>10,00</v>
      </c>
      <c r="Q143" s="4" t="str">
        <f>"2038-2040"</f>
        <v>2038-2040</v>
      </c>
      <c r="R143" s="4" t="str">
        <f t="shared" ref="R143:R148" si="155">"да"</f>
        <v>да</v>
      </c>
      <c r="S143" s="4" t="str">
        <f>"2010"</f>
        <v>2010</v>
      </c>
      <c r="T143" s="4" t="str">
        <f>"90,00"</f>
        <v>90,00</v>
      </c>
      <c r="U143" s="4" t="str">
        <f>"2038-2040"</f>
        <v>2038-2040</v>
      </c>
      <c r="V143" s="4" t="str">
        <f t="shared" si="139"/>
        <v>нет</v>
      </c>
      <c r="W143" s="4" t="str">
        <f>""</f>
        <v/>
      </c>
      <c r="X143" s="4" t="str">
        <f>""</f>
        <v/>
      </c>
      <c r="Y143" s="8" t="str">
        <f>""</f>
        <v/>
      </c>
      <c r="Z143" s="4" t="str">
        <f t="shared" si="147"/>
        <v>х</v>
      </c>
      <c r="AA143" s="4" t="str">
        <f t="shared" si="147"/>
        <v>х</v>
      </c>
      <c r="AB143" s="4" t="str">
        <f t="shared" si="147"/>
        <v>х</v>
      </c>
      <c r="AC143" s="4" t="str">
        <f t="shared" si="147"/>
        <v>х</v>
      </c>
      <c r="AD143" s="4" t="str">
        <f t="shared" si="147"/>
        <v>х</v>
      </c>
      <c r="AE143" s="4" t="str">
        <f t="shared" si="136"/>
        <v>х</v>
      </c>
      <c r="AF143" s="4" t="str">
        <f t="shared" si="148"/>
        <v>х</v>
      </c>
      <c r="AG143" s="4" t="str">
        <f t="shared" si="148"/>
        <v>х</v>
      </c>
      <c r="AH143" s="4" t="str">
        <f t="shared" si="148"/>
        <v>х</v>
      </c>
      <c r="AI143" s="4" t="str">
        <f t="shared" si="148"/>
        <v>х</v>
      </c>
      <c r="AJ143" s="4" t="str">
        <f t="shared" si="148"/>
        <v>х</v>
      </c>
      <c r="AK143" s="7" t="str">
        <f>"2010"</f>
        <v>2010</v>
      </c>
      <c r="AL143" s="4" t="str">
        <f>"10,00"</f>
        <v>10,00</v>
      </c>
      <c r="AM143" s="4" t="str">
        <f>"2038-2040"</f>
        <v>2038-2040</v>
      </c>
      <c r="AN143" s="4" t="str">
        <f>"да"</f>
        <v>да</v>
      </c>
      <c r="AO143" s="4" t="str">
        <f>"2010"</f>
        <v>2010</v>
      </c>
      <c r="AP143" s="4" t="str">
        <f>"50,00"</f>
        <v>50,00</v>
      </c>
      <c r="AQ143" s="4" t="str">
        <f>"2038-2040"</f>
        <v>2038-2040</v>
      </c>
      <c r="AR143" s="4" t="str">
        <f t="shared" si="140"/>
        <v>нет</v>
      </c>
      <c r="AS143" s="4" t="str">
        <f>""</f>
        <v/>
      </c>
      <c r="AT143" s="4" t="str">
        <f>""</f>
        <v/>
      </c>
      <c r="AU143" s="4" t="str">
        <f>""</f>
        <v/>
      </c>
      <c r="AV143" s="4" t="str">
        <f>"2010"</f>
        <v>2010</v>
      </c>
      <c r="AW143" s="4" t="str">
        <f>"10,00"</f>
        <v>10,00</v>
      </c>
      <c r="AX143" s="4" t="str">
        <f>"2038-2040"</f>
        <v>2038-2040</v>
      </c>
      <c r="AY143" s="4" t="str">
        <f>"нет"</f>
        <v>нет</v>
      </c>
      <c r="AZ143" s="4" t="str">
        <f>""</f>
        <v/>
      </c>
      <c r="BA143" s="4" t="str">
        <f>""</f>
        <v/>
      </c>
      <c r="BB143" s="4" t="str">
        <f>""</f>
        <v/>
      </c>
      <c r="BC143" s="4" t="str">
        <f t="shared" si="152"/>
        <v>нет</v>
      </c>
      <c r="BD143" s="4" t="str">
        <f>""</f>
        <v/>
      </c>
      <c r="BE143" s="4" t="str">
        <f>""</f>
        <v/>
      </c>
      <c r="BF143" s="4" t="str">
        <f>""</f>
        <v/>
      </c>
      <c r="BG143" s="4" t="str">
        <f>"2010"</f>
        <v>2010</v>
      </c>
      <c r="BH143" s="4" t="str">
        <f>"10,00"</f>
        <v>10,00</v>
      </c>
      <c r="BI143" s="4" t="str">
        <f>"2038-2040"</f>
        <v>2038-2040</v>
      </c>
      <c r="BJ143" s="4" t="str">
        <f t="shared" si="143"/>
        <v>нет</v>
      </c>
      <c r="BK143" s="4" t="str">
        <f>""</f>
        <v/>
      </c>
      <c r="BL143" s="4" t="str">
        <f>""</f>
        <v/>
      </c>
      <c r="BM143" s="4" t="str">
        <f>""</f>
        <v/>
      </c>
      <c r="BN143" s="4" t="str">
        <f t="shared" si="144"/>
        <v>нет</v>
      </c>
      <c r="BO143" s="4" t="str">
        <f>""</f>
        <v/>
      </c>
      <c r="BP143" s="4" t="str">
        <f>""</f>
        <v/>
      </c>
      <c r="BQ143" s="4" t="str">
        <f>""</f>
        <v/>
      </c>
      <c r="BR143" s="4" t="str">
        <f>"1953"</f>
        <v>1953</v>
      </c>
      <c r="BS143" s="4" t="str">
        <f>"65,00"</f>
        <v>65,00</v>
      </c>
      <c r="BT143" s="4" t="str">
        <f>"2038-2040"</f>
        <v>2038-2040</v>
      </c>
      <c r="BU143" s="4" t="str">
        <f t="shared" si="153"/>
        <v>нет</v>
      </c>
      <c r="BV143" s="4" t="str">
        <f t="shared" si="145"/>
        <v>x</v>
      </c>
      <c r="BW143" s="4" t="str">
        <f t="shared" si="145"/>
        <v>x</v>
      </c>
      <c r="BX143" s="4" t="str">
        <f t="shared" si="145"/>
        <v>x</v>
      </c>
      <c r="BY143" s="4" t="str">
        <f t="shared" si="154"/>
        <v>нет</v>
      </c>
      <c r="BZ143" s="4" t="str">
        <f t="shared" si="134"/>
        <v>x</v>
      </c>
      <c r="CA143" s="4" t="str">
        <f t="shared" si="134"/>
        <v>x</v>
      </c>
      <c r="CB143" s="4" t="str">
        <f t="shared" si="134"/>
        <v>x</v>
      </c>
      <c r="CC143" s="4" t="str">
        <f>"2010"</f>
        <v>2010</v>
      </c>
      <c r="CD143" s="4" t="str">
        <f>"60,00"</f>
        <v>60,00</v>
      </c>
      <c r="CE143" s="4" t="str">
        <f>"2038-2040"</f>
        <v>2038-2040</v>
      </c>
      <c r="CF143" s="4" t="str">
        <f>"1953"</f>
        <v>1953</v>
      </c>
      <c r="CG143" s="4" t="str">
        <f>"60,00"</f>
        <v>60,00</v>
      </c>
      <c r="CH143" s="4" t="str">
        <f>"2038-2040"</f>
        <v>2038-2040</v>
      </c>
      <c r="CI143" s="4" t="str">
        <f>"51,00"</f>
        <v>51,00</v>
      </c>
      <c r="CJ143" s="4" t="str">
        <f>"2038-2040"</f>
        <v>2038-2040</v>
      </c>
    </row>
    <row r="144" spans="1:88" ht="11.25" customHeight="1">
      <c r="A144" s="45" t="str">
        <f>"24.131"</f>
        <v>24.131</v>
      </c>
      <c r="B144" s="46" t="str">
        <f>"г. Харовск, ул.Клубная, д.2"</f>
        <v>г. Харовск, ул.Клубная, д.2</v>
      </c>
      <c r="C144" s="6" t="str">
        <f>"1957"</f>
        <v>1957</v>
      </c>
      <c r="D144" s="4" t="str">
        <f>"2009"</f>
        <v>2009</v>
      </c>
      <c r="E144" s="4" t="str">
        <f>"10,00"</f>
        <v>10,00</v>
      </c>
      <c r="F144" s="4" t="str">
        <f>"2037-2039"</f>
        <v>2037-2039</v>
      </c>
      <c r="G144" s="4" t="str">
        <f t="shared" si="150"/>
        <v>нет</v>
      </c>
      <c r="H144" s="4" t="str">
        <f>""</f>
        <v/>
      </c>
      <c r="I144" s="4" t="str">
        <f>""</f>
        <v/>
      </c>
      <c r="J144" s="4" t="str">
        <f>""</f>
        <v/>
      </c>
      <c r="K144" s="4" t="str">
        <f t="shared" si="151"/>
        <v>нет</v>
      </c>
      <c r="L144" s="4" t="str">
        <f>""</f>
        <v/>
      </c>
      <c r="M144" s="4" t="str">
        <f>""</f>
        <v/>
      </c>
      <c r="N144" s="4" t="str">
        <f>""</f>
        <v/>
      </c>
      <c r="O144" s="7" t="str">
        <f>"2009"</f>
        <v>2009</v>
      </c>
      <c r="P144" s="4" t="str">
        <f>"10,00"</f>
        <v>10,00</v>
      </c>
      <c r="Q144" s="4" t="str">
        <f>"2037-2039"</f>
        <v>2037-2039</v>
      </c>
      <c r="R144" s="4" t="str">
        <f t="shared" si="155"/>
        <v>да</v>
      </c>
      <c r="S144" s="4" t="str">
        <f>"2009"</f>
        <v>2009</v>
      </c>
      <c r="T144" s="4" t="str">
        <f>"75,00"</f>
        <v>75,00</v>
      </c>
      <c r="U144" s="4" t="str">
        <f>"2037-2039"</f>
        <v>2037-2039</v>
      </c>
      <c r="V144" s="4" t="str">
        <f t="shared" si="139"/>
        <v>нет</v>
      </c>
      <c r="W144" s="4" t="str">
        <f>""</f>
        <v/>
      </c>
      <c r="X144" s="4" t="str">
        <f>""</f>
        <v/>
      </c>
      <c r="Y144" s="8" t="str">
        <f>""</f>
        <v/>
      </c>
      <c r="Z144" s="4" t="str">
        <f t="shared" si="147"/>
        <v>х</v>
      </c>
      <c r="AA144" s="4" t="str">
        <f t="shared" si="147"/>
        <v>х</v>
      </c>
      <c r="AB144" s="4" t="str">
        <f t="shared" si="147"/>
        <v>х</v>
      </c>
      <c r="AC144" s="4" t="str">
        <f t="shared" si="147"/>
        <v>х</v>
      </c>
      <c r="AD144" s="4" t="str">
        <f t="shared" si="147"/>
        <v>х</v>
      </c>
      <c r="AE144" s="4" t="str">
        <f t="shared" si="136"/>
        <v>х</v>
      </c>
      <c r="AF144" s="4" t="str">
        <f t="shared" si="148"/>
        <v>х</v>
      </c>
      <c r="AG144" s="4" t="str">
        <f t="shared" si="148"/>
        <v>х</v>
      </c>
      <c r="AH144" s="4" t="str">
        <f t="shared" si="148"/>
        <v>х</v>
      </c>
      <c r="AI144" s="4" t="str">
        <f t="shared" si="148"/>
        <v>х</v>
      </c>
      <c r="AJ144" s="4" t="str">
        <f t="shared" si="148"/>
        <v>х</v>
      </c>
      <c r="AK144" s="7" t="str">
        <f>"2009"</f>
        <v>2009</v>
      </c>
      <c r="AL144" s="4" t="str">
        <f>"10,00"</f>
        <v>10,00</v>
      </c>
      <c r="AM144" s="4" t="str">
        <f>"2037-2039"</f>
        <v>2037-2039</v>
      </c>
      <c r="AN144" s="4" t="str">
        <f>"нет"</f>
        <v>нет</v>
      </c>
      <c r="AO144" s="4" t="str">
        <f>""</f>
        <v/>
      </c>
      <c r="AP144" s="4" t="str">
        <f>""</f>
        <v/>
      </c>
      <c r="AQ144" s="4" t="str">
        <f>""</f>
        <v/>
      </c>
      <c r="AR144" s="4" t="str">
        <f t="shared" si="140"/>
        <v>нет</v>
      </c>
      <c r="AS144" s="4" t="str">
        <f>""</f>
        <v/>
      </c>
      <c r="AT144" s="4" t="str">
        <f>""</f>
        <v/>
      </c>
      <c r="AU144" s="4" t="str">
        <f>""</f>
        <v/>
      </c>
      <c r="AV144" s="4" t="str">
        <f>"2009"</f>
        <v>2009</v>
      </c>
      <c r="AW144" s="4" t="str">
        <f>"10,00"</f>
        <v>10,00</v>
      </c>
      <c r="AX144" s="4" t="str">
        <f>"2037-2039"</f>
        <v>2037-2039</v>
      </c>
      <c r="AY144" s="4" t="str">
        <f>"нет"</f>
        <v>нет</v>
      </c>
      <c r="AZ144" s="4" t="str">
        <f>""</f>
        <v/>
      </c>
      <c r="BA144" s="4" t="str">
        <f>""</f>
        <v/>
      </c>
      <c r="BB144" s="4" t="str">
        <f>""</f>
        <v/>
      </c>
      <c r="BC144" s="4" t="str">
        <f t="shared" si="152"/>
        <v>нет</v>
      </c>
      <c r="BD144" s="4" t="str">
        <f>""</f>
        <v/>
      </c>
      <c r="BE144" s="4" t="str">
        <f>""</f>
        <v/>
      </c>
      <c r="BF144" s="4" t="str">
        <f>""</f>
        <v/>
      </c>
      <c r="BG144" s="4" t="str">
        <f>"2009"</f>
        <v>2009</v>
      </c>
      <c r="BH144" s="4" t="str">
        <f>"10,00"</f>
        <v>10,00</v>
      </c>
      <c r="BI144" s="4" t="str">
        <f>"2037-2039"</f>
        <v>2037-2039</v>
      </c>
      <c r="BJ144" s="4" t="str">
        <f t="shared" si="143"/>
        <v>нет</v>
      </c>
      <c r="BK144" s="4" t="str">
        <f>""</f>
        <v/>
      </c>
      <c r="BL144" s="4" t="str">
        <f>""</f>
        <v/>
      </c>
      <c r="BM144" s="4" t="str">
        <f>""</f>
        <v/>
      </c>
      <c r="BN144" s="4" t="str">
        <f t="shared" si="144"/>
        <v>нет</v>
      </c>
      <c r="BO144" s="4" t="str">
        <f>""</f>
        <v/>
      </c>
      <c r="BP144" s="4" t="str">
        <f>""</f>
        <v/>
      </c>
      <c r="BQ144" s="4" t="str">
        <f>""</f>
        <v/>
      </c>
      <c r="BR144" s="4" t="str">
        <f>"2009"</f>
        <v>2009</v>
      </c>
      <c r="BS144" s="4" t="str">
        <f>"25,00"</f>
        <v>25,00</v>
      </c>
      <c r="BT144" s="4" t="str">
        <f>"2037-2039"</f>
        <v>2037-2039</v>
      </c>
      <c r="BU144" s="4" t="str">
        <f t="shared" si="153"/>
        <v>нет</v>
      </c>
      <c r="BV144" s="4" t="str">
        <f t="shared" si="145"/>
        <v>x</v>
      </c>
      <c r="BW144" s="4" t="str">
        <f t="shared" si="145"/>
        <v>x</v>
      </c>
      <c r="BX144" s="4" t="str">
        <f t="shared" si="145"/>
        <v>x</v>
      </c>
      <c r="BY144" s="4" t="str">
        <f t="shared" si="154"/>
        <v>нет</v>
      </c>
      <c r="BZ144" s="4" t="str">
        <f t="shared" si="134"/>
        <v>x</v>
      </c>
      <c r="CA144" s="4" t="str">
        <f t="shared" si="134"/>
        <v>x</v>
      </c>
      <c r="CB144" s="4" t="str">
        <f t="shared" si="134"/>
        <v>x</v>
      </c>
      <c r="CC144" s="4" t="str">
        <f>"2009"</f>
        <v>2009</v>
      </c>
      <c r="CD144" s="4" t="str">
        <f>"60,00"</f>
        <v>60,00</v>
      </c>
      <c r="CE144" s="4" t="str">
        <f>"2037-2039"</f>
        <v>2037-2039</v>
      </c>
      <c r="CF144" s="4" t="str">
        <f>"1957"</f>
        <v>1957</v>
      </c>
      <c r="CG144" s="4" t="str">
        <f>"60,00"</f>
        <v>60,00</v>
      </c>
      <c r="CH144" s="4" t="str">
        <f>"2037-2039"</f>
        <v>2037-2039</v>
      </c>
      <c r="CI144" s="4" t="str">
        <f>"57,00"</f>
        <v>57,00</v>
      </c>
      <c r="CJ144" s="4" t="str">
        <f>"2037-2039"</f>
        <v>2037-2039</v>
      </c>
    </row>
    <row r="145" spans="1:88" ht="11.25" customHeight="1">
      <c r="A145" s="45" t="str">
        <f>"24.132"</f>
        <v>24.132</v>
      </c>
      <c r="B145" s="46" t="str">
        <f>"г. Харовск, ул.Клубная, д.21"</f>
        <v>г. Харовск, ул.Клубная, д.21</v>
      </c>
      <c r="C145" s="6" t="str">
        <f>"1960"</f>
        <v>1960</v>
      </c>
      <c r="D145" s="4" t="str">
        <f>"1960"</f>
        <v>1960</v>
      </c>
      <c r="E145" s="4" t="str">
        <f>"35,00"</f>
        <v>35,00</v>
      </c>
      <c r="F145" s="4" t="str">
        <f>"2029-2031"</f>
        <v>2029-2031</v>
      </c>
      <c r="G145" s="4" t="str">
        <f t="shared" si="150"/>
        <v>нет</v>
      </c>
      <c r="H145" s="4" t="str">
        <f>""</f>
        <v/>
      </c>
      <c r="I145" s="4" t="str">
        <f>""</f>
        <v/>
      </c>
      <c r="J145" s="4" t="str">
        <f>""</f>
        <v/>
      </c>
      <c r="K145" s="4" t="str">
        <f t="shared" si="151"/>
        <v>нет</v>
      </c>
      <c r="L145" s="4" t="str">
        <f>""</f>
        <v/>
      </c>
      <c r="M145" s="4" t="str">
        <f>""</f>
        <v/>
      </c>
      <c r="N145" s="4" t="str">
        <f>""</f>
        <v/>
      </c>
      <c r="O145" s="7" t="str">
        <f>"1960"</f>
        <v>1960</v>
      </c>
      <c r="P145" s="4" t="str">
        <f>"35,00"</f>
        <v>35,00</v>
      </c>
      <c r="Q145" s="4" t="str">
        <f>"2019-2021"</f>
        <v>2019-2021</v>
      </c>
      <c r="R145" s="4" t="str">
        <f t="shared" si="155"/>
        <v>да</v>
      </c>
      <c r="S145" s="4" t="str">
        <f>"2012"</f>
        <v>2012</v>
      </c>
      <c r="T145" s="4" t="str">
        <f>"25,00"</f>
        <v>25,00</v>
      </c>
      <c r="U145" s="4" t="str">
        <f>"2019-2021"</f>
        <v>2019-2021</v>
      </c>
      <c r="V145" s="4" t="str">
        <f t="shared" si="139"/>
        <v>нет</v>
      </c>
      <c r="W145" s="4" t="str">
        <f>""</f>
        <v/>
      </c>
      <c r="X145" s="4" t="str">
        <f>""</f>
        <v/>
      </c>
      <c r="Y145" s="8" t="str">
        <f>""</f>
        <v/>
      </c>
      <c r="Z145" s="4" t="str">
        <f t="shared" si="147"/>
        <v>х</v>
      </c>
      <c r="AA145" s="4" t="str">
        <f t="shared" si="147"/>
        <v>х</v>
      </c>
      <c r="AB145" s="4" t="str">
        <f t="shared" si="147"/>
        <v>х</v>
      </c>
      <c r="AC145" s="4" t="str">
        <f t="shared" si="147"/>
        <v>х</v>
      </c>
      <c r="AD145" s="4" t="str">
        <f t="shared" si="147"/>
        <v>х</v>
      </c>
      <c r="AE145" s="4" t="str">
        <f t="shared" si="136"/>
        <v>х</v>
      </c>
      <c r="AF145" s="4" t="str">
        <f t="shared" si="148"/>
        <v>х</v>
      </c>
      <c r="AG145" s="4" t="str">
        <f t="shared" si="148"/>
        <v>х</v>
      </c>
      <c r="AH145" s="4" t="str">
        <f t="shared" si="148"/>
        <v>х</v>
      </c>
      <c r="AI145" s="4" t="str">
        <f t="shared" si="148"/>
        <v>х</v>
      </c>
      <c r="AJ145" s="4" t="str">
        <f t="shared" si="148"/>
        <v>х</v>
      </c>
      <c r="AK145" s="7" t="str">
        <f>"1960"</f>
        <v>1960</v>
      </c>
      <c r="AL145" s="4" t="str">
        <f>"35,00"</f>
        <v>35,00</v>
      </c>
      <c r="AM145" s="4" t="str">
        <f>"2029-2031"</f>
        <v>2029-2031</v>
      </c>
      <c r="AN145" s="4" t="str">
        <f>"нет"</f>
        <v>нет</v>
      </c>
      <c r="AO145" s="4" t="str">
        <f>""</f>
        <v/>
      </c>
      <c r="AP145" s="4" t="str">
        <f>""</f>
        <v/>
      </c>
      <c r="AQ145" s="4" t="str">
        <f>""</f>
        <v/>
      </c>
      <c r="AR145" s="4" t="str">
        <f t="shared" si="140"/>
        <v>нет</v>
      </c>
      <c r="AS145" s="4" t="str">
        <f>""</f>
        <v/>
      </c>
      <c r="AT145" s="4" t="str">
        <f>""</f>
        <v/>
      </c>
      <c r="AU145" s="4" t="str">
        <f>""</f>
        <v/>
      </c>
      <c r="AV145" s="4" t="str">
        <f>"1960"</f>
        <v>1960</v>
      </c>
      <c r="AW145" s="4" t="str">
        <f>"35,00"</f>
        <v>35,00</v>
      </c>
      <c r="AX145" s="4" t="str">
        <f>"2029-2031"</f>
        <v>2029-2031</v>
      </c>
      <c r="AY145" s="4" t="str">
        <f>"нет"</f>
        <v>нет</v>
      </c>
      <c r="AZ145" s="4" t="str">
        <f>""</f>
        <v/>
      </c>
      <c r="BA145" s="4" t="str">
        <f>""</f>
        <v/>
      </c>
      <c r="BB145" s="4" t="str">
        <f>""</f>
        <v/>
      </c>
      <c r="BC145" s="4" t="str">
        <f t="shared" si="152"/>
        <v>нет</v>
      </c>
      <c r="BD145" s="4" t="str">
        <f>""</f>
        <v/>
      </c>
      <c r="BE145" s="4" t="str">
        <f>""</f>
        <v/>
      </c>
      <c r="BF145" s="4" t="str">
        <f>""</f>
        <v/>
      </c>
      <c r="BG145" s="4" t="str">
        <f>"1960"</f>
        <v>1960</v>
      </c>
      <c r="BH145" s="4" t="str">
        <f>"35,00"</f>
        <v>35,00</v>
      </c>
      <c r="BI145" s="4" t="str">
        <f>"2029-2031"</f>
        <v>2029-2031</v>
      </c>
      <c r="BJ145" s="4" t="str">
        <f t="shared" si="143"/>
        <v>нет</v>
      </c>
      <c r="BK145" s="4" t="str">
        <f>""</f>
        <v/>
      </c>
      <c r="BL145" s="4" t="str">
        <f>""</f>
        <v/>
      </c>
      <c r="BM145" s="4" t="str">
        <f>""</f>
        <v/>
      </c>
      <c r="BN145" s="4" t="str">
        <f t="shared" si="144"/>
        <v>нет</v>
      </c>
      <c r="BO145" s="4" t="str">
        <f>""</f>
        <v/>
      </c>
      <c r="BP145" s="4" t="str">
        <f>""</f>
        <v/>
      </c>
      <c r="BQ145" s="4" t="str">
        <f>""</f>
        <v/>
      </c>
      <c r="BR145" s="4" t="str">
        <f>"1960"</f>
        <v>1960</v>
      </c>
      <c r="BS145" s="4" t="str">
        <f>"45,00"</f>
        <v>45,00</v>
      </c>
      <c r="BT145" s="4" t="str">
        <f>"2019-2021"</f>
        <v>2019-2021</v>
      </c>
      <c r="BU145" s="4" t="str">
        <f t="shared" si="153"/>
        <v>нет</v>
      </c>
      <c r="BV145" s="4" t="str">
        <f t="shared" si="145"/>
        <v>x</v>
      </c>
      <c r="BW145" s="4" t="str">
        <f t="shared" si="145"/>
        <v>x</v>
      </c>
      <c r="BX145" s="4" t="str">
        <f t="shared" si="145"/>
        <v>x</v>
      </c>
      <c r="BY145" s="4" t="str">
        <f t="shared" si="154"/>
        <v>нет</v>
      </c>
      <c r="BZ145" s="4" t="str">
        <f t="shared" si="134"/>
        <v>x</v>
      </c>
      <c r="CA145" s="4" t="str">
        <f t="shared" si="134"/>
        <v>x</v>
      </c>
      <c r="CB145" s="4" t="str">
        <f t="shared" si="134"/>
        <v>x</v>
      </c>
      <c r="CC145" s="4" t="str">
        <f>"1960"</f>
        <v>1960</v>
      </c>
      <c r="CD145" s="4" t="str">
        <f>"55,00"</f>
        <v>55,00</v>
      </c>
      <c r="CE145" s="4" t="str">
        <f>"2019-2021"</f>
        <v>2019-2021</v>
      </c>
      <c r="CF145" s="4" t="str">
        <f>"1960"</f>
        <v>1960</v>
      </c>
      <c r="CG145" s="4" t="str">
        <f>"50,00"</f>
        <v>50,00</v>
      </c>
      <c r="CH145" s="4" t="str">
        <f>"2029-2031"</f>
        <v>2029-2031</v>
      </c>
      <c r="CI145" s="4" t="str">
        <f>"46,00"</f>
        <v>46,00</v>
      </c>
      <c r="CJ145" s="4" t="str">
        <f>"2019-2021"</f>
        <v>2019-2021</v>
      </c>
    </row>
    <row r="146" spans="1:88" ht="11.25" customHeight="1">
      <c r="A146" s="45" t="str">
        <f>"24.133"</f>
        <v>24.133</v>
      </c>
      <c r="B146" s="46" t="str">
        <f>"г. Харовск, ул.Клубная, д.5"</f>
        <v>г. Харовск, ул.Клубная, д.5</v>
      </c>
      <c r="C146" s="6" t="str">
        <f>"1955"</f>
        <v>1955</v>
      </c>
      <c r="D146" s="4" t="str">
        <f>"2009"</f>
        <v>2009</v>
      </c>
      <c r="E146" s="4" t="str">
        <f>"10,00"</f>
        <v>10,00</v>
      </c>
      <c r="F146" s="4" t="str">
        <f>"2037-2039"</f>
        <v>2037-2039</v>
      </c>
      <c r="G146" s="4" t="str">
        <f t="shared" si="150"/>
        <v>нет</v>
      </c>
      <c r="H146" s="4" t="str">
        <f>""</f>
        <v/>
      </c>
      <c r="I146" s="4" t="str">
        <f>""</f>
        <v/>
      </c>
      <c r="J146" s="4" t="str">
        <f>""</f>
        <v/>
      </c>
      <c r="K146" s="4" t="str">
        <f t="shared" si="151"/>
        <v>нет</v>
      </c>
      <c r="L146" s="4" t="str">
        <f>""</f>
        <v/>
      </c>
      <c r="M146" s="4" t="str">
        <f>""</f>
        <v/>
      </c>
      <c r="N146" s="4" t="str">
        <f>""</f>
        <v/>
      </c>
      <c r="O146" s="7" t="str">
        <f>"2009"</f>
        <v>2009</v>
      </c>
      <c r="P146" s="4" t="str">
        <f>"10,00"</f>
        <v>10,00</v>
      </c>
      <c r="Q146" s="4" t="str">
        <f>"2037-2039"</f>
        <v>2037-2039</v>
      </c>
      <c r="R146" s="4" t="str">
        <f t="shared" si="155"/>
        <v>да</v>
      </c>
      <c r="S146" s="4" t="str">
        <f>"2009"</f>
        <v>2009</v>
      </c>
      <c r="T146" s="4" t="str">
        <f>"75,00"</f>
        <v>75,00</v>
      </c>
      <c r="U146" s="4" t="str">
        <f>"2038-2040"</f>
        <v>2038-2040</v>
      </c>
      <c r="V146" s="4" t="str">
        <f t="shared" si="139"/>
        <v>нет</v>
      </c>
      <c r="W146" s="4" t="str">
        <f>""</f>
        <v/>
      </c>
      <c r="X146" s="4" t="str">
        <f>""</f>
        <v/>
      </c>
      <c r="Y146" s="8" t="str">
        <f>""</f>
        <v/>
      </c>
      <c r="Z146" s="4" t="str">
        <f t="shared" ref="Z146:AD155" si="156">"х"</f>
        <v>х</v>
      </c>
      <c r="AA146" s="4" t="str">
        <f t="shared" si="156"/>
        <v>х</v>
      </c>
      <c r="AB146" s="4" t="str">
        <f t="shared" si="156"/>
        <v>х</v>
      </c>
      <c r="AC146" s="4" t="str">
        <f t="shared" si="156"/>
        <v>х</v>
      </c>
      <c r="AD146" s="4" t="str">
        <f t="shared" si="156"/>
        <v>х</v>
      </c>
      <c r="AE146" s="4" t="str">
        <f t="shared" si="136"/>
        <v>х</v>
      </c>
      <c r="AF146" s="4" t="str">
        <f t="shared" ref="AF146:AJ155" si="157">"х"</f>
        <v>х</v>
      </c>
      <c r="AG146" s="4" t="str">
        <f t="shared" si="157"/>
        <v>х</v>
      </c>
      <c r="AH146" s="4" t="str">
        <f t="shared" si="157"/>
        <v>х</v>
      </c>
      <c r="AI146" s="4" t="str">
        <f t="shared" si="157"/>
        <v>х</v>
      </c>
      <c r="AJ146" s="4" t="str">
        <f t="shared" si="157"/>
        <v>х</v>
      </c>
      <c r="AK146" s="7" t="str">
        <f>"2009"</f>
        <v>2009</v>
      </c>
      <c r="AL146" s="4" t="str">
        <f>"10,00"</f>
        <v>10,00</v>
      </c>
      <c r="AM146" s="4" t="str">
        <f>"2037-2039"</f>
        <v>2037-2039</v>
      </c>
      <c r="AN146" s="4" t="str">
        <f>"нет"</f>
        <v>нет</v>
      </c>
      <c r="AO146" s="4" t="str">
        <f>""</f>
        <v/>
      </c>
      <c r="AP146" s="4" t="str">
        <f>""</f>
        <v/>
      </c>
      <c r="AQ146" s="4" t="str">
        <f>""</f>
        <v/>
      </c>
      <c r="AR146" s="4" t="str">
        <f t="shared" si="140"/>
        <v>нет</v>
      </c>
      <c r="AS146" s="4" t="str">
        <f>""</f>
        <v/>
      </c>
      <c r="AT146" s="4" t="str">
        <f>""</f>
        <v/>
      </c>
      <c r="AU146" s="4" t="str">
        <f>""</f>
        <v/>
      </c>
      <c r="AV146" s="4" t="str">
        <f>"2009"</f>
        <v>2009</v>
      </c>
      <c r="AW146" s="4" t="str">
        <f>"10,00"</f>
        <v>10,00</v>
      </c>
      <c r="AX146" s="4" t="str">
        <f>"2037-2039"</f>
        <v>2037-2039</v>
      </c>
      <c r="AY146" s="4" t="str">
        <f>"да"</f>
        <v>да</v>
      </c>
      <c r="AZ146" s="4" t="str">
        <f>"2009"</f>
        <v>2009</v>
      </c>
      <c r="BA146" s="4" t="str">
        <f>"75,00"</f>
        <v>75,00</v>
      </c>
      <c r="BB146" s="4" t="str">
        <f>"2038-2040"</f>
        <v>2038-2040</v>
      </c>
      <c r="BC146" s="4" t="str">
        <f t="shared" si="152"/>
        <v>нет</v>
      </c>
      <c r="BD146" s="4" t="str">
        <f>""</f>
        <v/>
      </c>
      <c r="BE146" s="4" t="str">
        <f>""</f>
        <v/>
      </c>
      <c r="BF146" s="4" t="str">
        <f>""</f>
        <v/>
      </c>
      <c r="BG146" s="4" t="str">
        <f>"2009"</f>
        <v>2009</v>
      </c>
      <c r="BH146" s="4" t="str">
        <f>"10,00"</f>
        <v>10,00</v>
      </c>
      <c r="BI146" s="4" t="str">
        <f>"2037-2039"</f>
        <v>2037-2039</v>
      </c>
      <c r="BJ146" s="4" t="str">
        <f t="shared" si="143"/>
        <v>нет</v>
      </c>
      <c r="BK146" s="4" t="str">
        <f>""</f>
        <v/>
      </c>
      <c r="BL146" s="4" t="str">
        <f>""</f>
        <v/>
      </c>
      <c r="BM146" s="4" t="str">
        <f>""</f>
        <v/>
      </c>
      <c r="BN146" s="4" t="str">
        <f t="shared" si="144"/>
        <v>нет</v>
      </c>
      <c r="BO146" s="4" t="str">
        <f>""</f>
        <v/>
      </c>
      <c r="BP146" s="4" t="str">
        <f>""</f>
        <v/>
      </c>
      <c r="BQ146" s="4" t="str">
        <f>""</f>
        <v/>
      </c>
      <c r="BR146" s="4" t="str">
        <f>"1955"</f>
        <v>1955</v>
      </c>
      <c r="BS146" s="4" t="str">
        <f>"10,00"</f>
        <v>10,00</v>
      </c>
      <c r="BT146" s="4" t="str">
        <f>"2037-2039"</f>
        <v>2037-2039</v>
      </c>
      <c r="BU146" s="4" t="str">
        <f t="shared" si="153"/>
        <v>нет</v>
      </c>
      <c r="BV146" s="4" t="str">
        <f t="shared" si="145"/>
        <v>x</v>
      </c>
      <c r="BW146" s="4" t="str">
        <f t="shared" si="145"/>
        <v>x</v>
      </c>
      <c r="BX146" s="4" t="str">
        <f t="shared" si="145"/>
        <v>x</v>
      </c>
      <c r="BY146" s="4" t="str">
        <f t="shared" si="154"/>
        <v>нет</v>
      </c>
      <c r="BZ146" s="4" t="str">
        <f t="shared" si="134"/>
        <v>x</v>
      </c>
      <c r="CA146" s="4" t="str">
        <f t="shared" si="134"/>
        <v>x</v>
      </c>
      <c r="CB146" s="4" t="str">
        <f t="shared" si="134"/>
        <v>x</v>
      </c>
      <c r="CC146" s="4" t="str">
        <f>"2009"</f>
        <v>2009</v>
      </c>
      <c r="CD146" s="4" t="str">
        <f>"40,00"</f>
        <v>40,00</v>
      </c>
      <c r="CE146" s="4" t="str">
        <f>"2037-2039"</f>
        <v>2037-2039</v>
      </c>
      <c r="CF146" s="4" t="str">
        <f>"1955"</f>
        <v>1955</v>
      </c>
      <c r="CG146" s="4" t="str">
        <f>"50,00"</f>
        <v>50,00</v>
      </c>
      <c r="CH146" s="4" t="str">
        <f>"2037-2039"</f>
        <v>2037-2039</v>
      </c>
      <c r="CI146" s="4" t="str">
        <f>"49,00"</f>
        <v>49,00</v>
      </c>
      <c r="CJ146" s="4" t="str">
        <f>"2037-2039"</f>
        <v>2037-2039</v>
      </c>
    </row>
    <row r="147" spans="1:88" ht="11.25" customHeight="1">
      <c r="A147" s="45" t="str">
        <f>"24.134"</f>
        <v>24.134</v>
      </c>
      <c r="B147" s="46" t="str">
        <f>"г. Харовск, ул.Клубная, д.7"</f>
        <v>г. Харовск, ул.Клубная, д.7</v>
      </c>
      <c r="C147" s="6" t="str">
        <f>"1960"</f>
        <v>1960</v>
      </c>
      <c r="D147" s="4" t="str">
        <f>"1960"</f>
        <v>1960</v>
      </c>
      <c r="E147" s="4" t="str">
        <f>"20,00"</f>
        <v>20,00</v>
      </c>
      <c r="F147" s="4" t="str">
        <f>"2038-2040"</f>
        <v>2038-2040</v>
      </c>
      <c r="G147" s="4" t="str">
        <f t="shared" si="150"/>
        <v>нет</v>
      </c>
      <c r="H147" s="4" t="str">
        <f>""</f>
        <v/>
      </c>
      <c r="I147" s="4" t="str">
        <f>""</f>
        <v/>
      </c>
      <c r="J147" s="4" t="str">
        <f>""</f>
        <v/>
      </c>
      <c r="K147" s="4" t="str">
        <f t="shared" si="151"/>
        <v>нет</v>
      </c>
      <c r="L147" s="4" t="str">
        <f>""</f>
        <v/>
      </c>
      <c r="M147" s="4" t="str">
        <f>""</f>
        <v/>
      </c>
      <c r="N147" s="4" t="str">
        <f>""</f>
        <v/>
      </c>
      <c r="O147" s="7" t="str">
        <f>"2010"</f>
        <v>2010</v>
      </c>
      <c r="P147" s="4" t="str">
        <f>"20,00"</f>
        <v>20,00</v>
      </c>
      <c r="Q147" s="4" t="str">
        <f>"2038-2040"</f>
        <v>2038-2040</v>
      </c>
      <c r="R147" s="4" t="str">
        <f t="shared" si="155"/>
        <v>да</v>
      </c>
      <c r="S147" s="4" t="str">
        <f>"2010"</f>
        <v>2010</v>
      </c>
      <c r="T147" s="4" t="str">
        <f>"75,00"</f>
        <v>75,00</v>
      </c>
      <c r="U147" s="4" t="str">
        <f>"2038-2040"</f>
        <v>2038-2040</v>
      </c>
      <c r="V147" s="4" t="str">
        <f t="shared" si="139"/>
        <v>нет</v>
      </c>
      <c r="W147" s="4" t="str">
        <f>""</f>
        <v/>
      </c>
      <c r="X147" s="4" t="str">
        <f>""</f>
        <v/>
      </c>
      <c r="Y147" s="8" t="str">
        <f>""</f>
        <v/>
      </c>
      <c r="Z147" s="4" t="str">
        <f t="shared" si="156"/>
        <v>х</v>
      </c>
      <c r="AA147" s="4" t="str">
        <f t="shared" si="156"/>
        <v>х</v>
      </c>
      <c r="AB147" s="4" t="str">
        <f t="shared" si="156"/>
        <v>х</v>
      </c>
      <c r="AC147" s="4" t="str">
        <f t="shared" si="156"/>
        <v>х</v>
      </c>
      <c r="AD147" s="4" t="str">
        <f t="shared" si="156"/>
        <v>х</v>
      </c>
      <c r="AE147" s="4" t="str">
        <f t="shared" si="136"/>
        <v>х</v>
      </c>
      <c r="AF147" s="4" t="str">
        <f t="shared" si="157"/>
        <v>х</v>
      </c>
      <c r="AG147" s="4" t="str">
        <f t="shared" si="157"/>
        <v>х</v>
      </c>
      <c r="AH147" s="4" t="str">
        <f t="shared" si="157"/>
        <v>х</v>
      </c>
      <c r="AI147" s="4" t="str">
        <f t="shared" si="157"/>
        <v>х</v>
      </c>
      <c r="AJ147" s="4" t="str">
        <f t="shared" si="157"/>
        <v>х</v>
      </c>
      <c r="AK147" s="7" t="str">
        <f>"1960"</f>
        <v>1960</v>
      </c>
      <c r="AL147" s="4" t="str">
        <f>"20,00"</f>
        <v>20,00</v>
      </c>
      <c r="AM147" s="4" t="str">
        <f>"2038-2040"</f>
        <v>2038-2040</v>
      </c>
      <c r="AN147" s="4" t="str">
        <f>"нет"</f>
        <v>нет</v>
      </c>
      <c r="AO147" s="4" t="str">
        <f>""</f>
        <v/>
      </c>
      <c r="AP147" s="4" t="str">
        <f>""</f>
        <v/>
      </c>
      <c r="AQ147" s="4" t="str">
        <f>""</f>
        <v/>
      </c>
      <c r="AR147" s="4" t="str">
        <f t="shared" si="140"/>
        <v>нет</v>
      </c>
      <c r="AS147" s="4" t="str">
        <f>""</f>
        <v/>
      </c>
      <c r="AT147" s="4" t="str">
        <f>""</f>
        <v/>
      </c>
      <c r="AU147" s="4" t="str">
        <f>""</f>
        <v/>
      </c>
      <c r="AV147" s="4" t="str">
        <f>"1960"</f>
        <v>1960</v>
      </c>
      <c r="AW147" s="4" t="str">
        <f>"20,00"</f>
        <v>20,00</v>
      </c>
      <c r="AX147" s="4" t="str">
        <f>"2038-2040"</f>
        <v>2038-2040</v>
      </c>
      <c r="AY147" s="4" t="str">
        <f>"нет"</f>
        <v>нет</v>
      </c>
      <c r="AZ147" s="4" t="str">
        <f>""</f>
        <v/>
      </c>
      <c r="BA147" s="4" t="str">
        <f>""</f>
        <v/>
      </c>
      <c r="BB147" s="4" t="str">
        <f>""</f>
        <v/>
      </c>
      <c r="BC147" s="4" t="str">
        <f t="shared" si="152"/>
        <v>нет</v>
      </c>
      <c r="BD147" s="4" t="str">
        <f>""</f>
        <v/>
      </c>
      <c r="BE147" s="4" t="str">
        <f>""</f>
        <v/>
      </c>
      <c r="BF147" s="4" t="str">
        <f>""</f>
        <v/>
      </c>
      <c r="BG147" s="4" t="str">
        <f>"1960"</f>
        <v>1960</v>
      </c>
      <c r="BH147" s="4" t="str">
        <f>"20,00"</f>
        <v>20,00</v>
      </c>
      <c r="BI147" s="4" t="str">
        <f>"2038-2040"</f>
        <v>2038-2040</v>
      </c>
      <c r="BJ147" s="4" t="str">
        <f t="shared" si="143"/>
        <v>нет</v>
      </c>
      <c r="BK147" s="4" t="str">
        <f>""</f>
        <v/>
      </c>
      <c r="BL147" s="4" t="str">
        <f>""</f>
        <v/>
      </c>
      <c r="BM147" s="4" t="str">
        <f>""</f>
        <v/>
      </c>
      <c r="BN147" s="4" t="str">
        <f t="shared" si="144"/>
        <v>нет</v>
      </c>
      <c r="BO147" s="4" t="str">
        <f>""</f>
        <v/>
      </c>
      <c r="BP147" s="4" t="str">
        <f>""</f>
        <v/>
      </c>
      <c r="BQ147" s="4" t="str">
        <f>""</f>
        <v/>
      </c>
      <c r="BR147" s="4" t="str">
        <f>"2010"</f>
        <v>2010</v>
      </c>
      <c r="BS147" s="4" t="str">
        <f>"10,00"</f>
        <v>10,00</v>
      </c>
      <c r="BT147" s="4" t="str">
        <f>"2038-2040"</f>
        <v>2038-2040</v>
      </c>
      <c r="BU147" s="4" t="str">
        <f t="shared" si="153"/>
        <v>нет</v>
      </c>
      <c r="BV147" s="4" t="str">
        <f t="shared" si="145"/>
        <v>x</v>
      </c>
      <c r="BW147" s="4" t="str">
        <f t="shared" si="145"/>
        <v>x</v>
      </c>
      <c r="BX147" s="4" t="str">
        <f t="shared" si="145"/>
        <v>x</v>
      </c>
      <c r="BY147" s="4" t="str">
        <f t="shared" si="154"/>
        <v>нет</v>
      </c>
      <c r="BZ147" s="4" t="str">
        <f t="shared" si="134"/>
        <v>x</v>
      </c>
      <c r="CA147" s="4" t="str">
        <f t="shared" si="134"/>
        <v>x</v>
      </c>
      <c r="CB147" s="4" t="str">
        <f t="shared" si="134"/>
        <v>x</v>
      </c>
      <c r="CC147" s="4" t="str">
        <f>"2010"</f>
        <v>2010</v>
      </c>
      <c r="CD147" s="4" t="str">
        <f>"40,00"</f>
        <v>40,00</v>
      </c>
      <c r="CE147" s="4" t="str">
        <f>"2038-2040"</f>
        <v>2038-2040</v>
      </c>
      <c r="CF147" s="4" t="str">
        <f>"1960"</f>
        <v>1960</v>
      </c>
      <c r="CG147" s="4" t="str">
        <f>"60,00"</f>
        <v>60,00</v>
      </c>
      <c r="CH147" s="4" t="str">
        <f>"2038-2040"</f>
        <v>2038-2040</v>
      </c>
      <c r="CI147" s="4" t="str">
        <f>"54,00"</f>
        <v>54,00</v>
      </c>
      <c r="CJ147" s="4" t="str">
        <f>"2038-2040"</f>
        <v>2038-2040</v>
      </c>
    </row>
    <row r="148" spans="1:88" ht="11.25" customHeight="1">
      <c r="A148" s="45" t="str">
        <f>"24.135"</f>
        <v>24.135</v>
      </c>
      <c r="B148" s="46" t="str">
        <f>"г. Харовск, ул.Клубная, д.8"</f>
        <v>г. Харовск, ул.Клубная, д.8</v>
      </c>
      <c r="C148" s="6" t="str">
        <f>"1954"</f>
        <v>1954</v>
      </c>
      <c r="D148" s="4" t="str">
        <f>"1954"</f>
        <v>1954</v>
      </c>
      <c r="E148" s="4" t="str">
        <f>"55,00"</f>
        <v>55,00</v>
      </c>
      <c r="F148" s="4" t="str">
        <f>"2017-2019"</f>
        <v>2017-2019</v>
      </c>
      <c r="G148" s="4" t="str">
        <f t="shared" si="150"/>
        <v>нет</v>
      </c>
      <c r="H148" s="4" t="str">
        <f>""</f>
        <v/>
      </c>
      <c r="I148" s="4" t="str">
        <f>""</f>
        <v/>
      </c>
      <c r="J148" s="4" t="str">
        <f>""</f>
        <v/>
      </c>
      <c r="K148" s="4" t="str">
        <f t="shared" si="151"/>
        <v>нет</v>
      </c>
      <c r="L148" s="4" t="str">
        <f>""</f>
        <v/>
      </c>
      <c r="M148" s="4" t="str">
        <f>""</f>
        <v/>
      </c>
      <c r="N148" s="4" t="str">
        <f>""</f>
        <v/>
      </c>
      <c r="O148" s="7" t="str">
        <f>"1954"</f>
        <v>1954</v>
      </c>
      <c r="P148" s="4" t="str">
        <f>"55,00"</f>
        <v>55,00</v>
      </c>
      <c r="Q148" s="4" t="str">
        <f>"2017-2019"</f>
        <v>2017-2019</v>
      </c>
      <c r="R148" s="4" t="str">
        <f t="shared" si="155"/>
        <v>да</v>
      </c>
      <c r="S148" s="4" t="str">
        <f>"2011"</f>
        <v>2011</v>
      </c>
      <c r="T148" s="4" t="str">
        <f>"50,00"</f>
        <v>50,00</v>
      </c>
      <c r="U148" s="4" t="str">
        <f>"2017-2019"</f>
        <v>2017-2019</v>
      </c>
      <c r="V148" s="4" t="str">
        <f t="shared" si="139"/>
        <v>нет</v>
      </c>
      <c r="W148" s="4" t="str">
        <f>""</f>
        <v/>
      </c>
      <c r="X148" s="4" t="str">
        <f>""</f>
        <v/>
      </c>
      <c r="Y148" s="8" t="str">
        <f>""</f>
        <v/>
      </c>
      <c r="Z148" s="4" t="str">
        <f t="shared" si="156"/>
        <v>х</v>
      </c>
      <c r="AA148" s="4" t="str">
        <f t="shared" si="156"/>
        <v>х</v>
      </c>
      <c r="AB148" s="4" t="str">
        <f t="shared" si="156"/>
        <v>х</v>
      </c>
      <c r="AC148" s="4" t="str">
        <f t="shared" si="156"/>
        <v>х</v>
      </c>
      <c r="AD148" s="4" t="str">
        <f t="shared" si="156"/>
        <v>х</v>
      </c>
      <c r="AE148" s="4" t="str">
        <f t="shared" si="136"/>
        <v>х</v>
      </c>
      <c r="AF148" s="4" t="str">
        <f t="shared" si="157"/>
        <v>х</v>
      </c>
      <c r="AG148" s="4" t="str">
        <f t="shared" si="157"/>
        <v>х</v>
      </c>
      <c r="AH148" s="4" t="str">
        <f t="shared" si="157"/>
        <v>х</v>
      </c>
      <c r="AI148" s="4" t="str">
        <f t="shared" si="157"/>
        <v>х</v>
      </c>
      <c r="AJ148" s="4" t="str">
        <f t="shared" si="157"/>
        <v>х</v>
      </c>
      <c r="AK148" s="7" t="str">
        <f>"1954"</f>
        <v>1954</v>
      </c>
      <c r="AL148" s="4" t="str">
        <f>"55,00"</f>
        <v>55,00</v>
      </c>
      <c r="AM148" s="4" t="str">
        <f>"2027-2029"</f>
        <v>2027-2029</v>
      </c>
      <c r="AN148" s="4" t="str">
        <f>"нет"</f>
        <v>нет</v>
      </c>
      <c r="AO148" s="4" t="str">
        <f>""</f>
        <v/>
      </c>
      <c r="AP148" s="4" t="str">
        <f>""</f>
        <v/>
      </c>
      <c r="AQ148" s="4" t="str">
        <f>""</f>
        <v/>
      </c>
      <c r="AR148" s="4" t="str">
        <f t="shared" si="140"/>
        <v>нет</v>
      </c>
      <c r="AS148" s="4" t="str">
        <f>""</f>
        <v/>
      </c>
      <c r="AT148" s="4" t="str">
        <f>""</f>
        <v/>
      </c>
      <c r="AU148" s="4" t="str">
        <f>""</f>
        <v/>
      </c>
      <c r="AV148" s="4" t="str">
        <f>"1954"</f>
        <v>1954</v>
      </c>
      <c r="AW148" s="4" t="str">
        <f>"55,00"</f>
        <v>55,00</v>
      </c>
      <c r="AX148" s="4" t="str">
        <f>"2027-2029"</f>
        <v>2027-2029</v>
      </c>
      <c r="AY148" s="4" t="str">
        <f>"нет"</f>
        <v>нет</v>
      </c>
      <c r="AZ148" s="4" t="str">
        <f>""</f>
        <v/>
      </c>
      <c r="BA148" s="4" t="str">
        <f>""</f>
        <v/>
      </c>
      <c r="BB148" s="4" t="str">
        <f>""</f>
        <v/>
      </c>
      <c r="BC148" s="4" t="str">
        <f t="shared" si="152"/>
        <v>нет</v>
      </c>
      <c r="BD148" s="4" t="str">
        <f>""</f>
        <v/>
      </c>
      <c r="BE148" s="4" t="str">
        <f>""</f>
        <v/>
      </c>
      <c r="BF148" s="4" t="str">
        <f>""</f>
        <v/>
      </c>
      <c r="BG148" s="4" t="str">
        <f>"1954"</f>
        <v>1954</v>
      </c>
      <c r="BH148" s="4" t="str">
        <f>"55,00"</f>
        <v>55,00</v>
      </c>
      <c r="BI148" s="4" t="str">
        <f>"2027-2029"</f>
        <v>2027-2029</v>
      </c>
      <c r="BJ148" s="4" t="str">
        <f t="shared" si="143"/>
        <v>нет</v>
      </c>
      <c r="BK148" s="4" t="str">
        <f>""</f>
        <v/>
      </c>
      <c r="BL148" s="4" t="str">
        <f>""</f>
        <v/>
      </c>
      <c r="BM148" s="4" t="str">
        <f>""</f>
        <v/>
      </c>
      <c r="BN148" s="4" t="str">
        <f t="shared" si="144"/>
        <v>нет</v>
      </c>
      <c r="BO148" s="4" t="str">
        <f>""</f>
        <v/>
      </c>
      <c r="BP148" s="4" t="str">
        <f>""</f>
        <v/>
      </c>
      <c r="BQ148" s="4" t="str">
        <f>""</f>
        <v/>
      </c>
      <c r="BR148" s="4" t="str">
        <f>"1954"</f>
        <v>1954</v>
      </c>
      <c r="BS148" s="4" t="str">
        <f>"60,00"</f>
        <v>60,00</v>
      </c>
      <c r="BT148" s="4" t="str">
        <f>"2017-2019"</f>
        <v>2017-2019</v>
      </c>
      <c r="BU148" s="4" t="str">
        <f t="shared" si="153"/>
        <v>нет</v>
      </c>
      <c r="BV148" s="4" t="str">
        <f t="shared" si="145"/>
        <v>x</v>
      </c>
      <c r="BW148" s="4" t="str">
        <f t="shared" si="145"/>
        <v>x</v>
      </c>
      <c r="BX148" s="4" t="str">
        <f t="shared" si="145"/>
        <v>x</v>
      </c>
      <c r="BY148" s="4" t="str">
        <f t="shared" si="154"/>
        <v>нет</v>
      </c>
      <c r="BZ148" s="4" t="str">
        <f t="shared" ref="BZ148:CB169" si="158">"x"</f>
        <v>x</v>
      </c>
      <c r="CA148" s="4" t="str">
        <f t="shared" si="158"/>
        <v>x</v>
      </c>
      <c r="CB148" s="4" t="str">
        <f t="shared" si="158"/>
        <v>x</v>
      </c>
      <c r="CC148" s="4" t="str">
        <f>"1954"</f>
        <v>1954</v>
      </c>
      <c r="CD148" s="4" t="str">
        <f>"60,00"</f>
        <v>60,00</v>
      </c>
      <c r="CE148" s="4" t="str">
        <f>"2027-2029"</f>
        <v>2027-2029</v>
      </c>
      <c r="CF148" s="4" t="str">
        <f>"1954"</f>
        <v>1954</v>
      </c>
      <c r="CG148" s="4" t="str">
        <f>"60,00"</f>
        <v>60,00</v>
      </c>
      <c r="CH148" s="4" t="str">
        <f>"2027-2029"</f>
        <v>2027-2029</v>
      </c>
      <c r="CI148" s="4" t="str">
        <f>"60,00"</f>
        <v>60,00</v>
      </c>
      <c r="CJ148" s="4" t="str">
        <f>"2017-2019"</f>
        <v>2017-2019</v>
      </c>
    </row>
    <row r="149" spans="1:88" ht="11.25" customHeight="1">
      <c r="A149" s="45" t="str">
        <f>"24.136"</f>
        <v>24.136</v>
      </c>
      <c r="B149" s="46" t="str">
        <f>"г. Харовск, ул.Колхозная, д.3"</f>
        <v>г. Харовск, ул.Колхозная, д.3</v>
      </c>
      <c r="C149" s="6" t="str">
        <f>"1957"</f>
        <v>1957</v>
      </c>
      <c r="D149" s="4" t="str">
        <f>"1957"</f>
        <v>1957</v>
      </c>
      <c r="E149" s="4" t="str">
        <f>"63,00"</f>
        <v>63,00</v>
      </c>
      <c r="F149" s="4" t="str">
        <f>"2031-2033"</f>
        <v>2031-2033</v>
      </c>
      <c r="G149" s="4" t="str">
        <f t="shared" si="150"/>
        <v>нет</v>
      </c>
      <c r="H149" s="4" t="str">
        <f>""</f>
        <v/>
      </c>
      <c r="I149" s="4" t="str">
        <f>""</f>
        <v/>
      </c>
      <c r="J149" s="4" t="str">
        <f>""</f>
        <v/>
      </c>
      <c r="K149" s="4" t="str">
        <f t="shared" si="151"/>
        <v>нет</v>
      </c>
      <c r="L149" s="4" t="str">
        <f>""</f>
        <v/>
      </c>
      <c r="M149" s="4" t="str">
        <f>""</f>
        <v/>
      </c>
      <c r="N149" s="4" t="str">
        <f>""</f>
        <v/>
      </c>
      <c r="O149" s="7" t="str">
        <f t="shared" ref="O149:Y149" si="159">"х"</f>
        <v>х</v>
      </c>
      <c r="P149" s="4" t="str">
        <f t="shared" si="159"/>
        <v>х</v>
      </c>
      <c r="Q149" s="4" t="str">
        <f t="shared" si="159"/>
        <v>х</v>
      </c>
      <c r="R149" s="4" t="str">
        <f t="shared" si="159"/>
        <v>х</v>
      </c>
      <c r="S149" s="4" t="str">
        <f t="shared" si="159"/>
        <v>х</v>
      </c>
      <c r="T149" s="4" t="str">
        <f t="shared" si="159"/>
        <v>х</v>
      </c>
      <c r="U149" s="4" t="str">
        <f t="shared" si="159"/>
        <v>х</v>
      </c>
      <c r="V149" s="4" t="str">
        <f t="shared" si="159"/>
        <v>х</v>
      </c>
      <c r="W149" s="4" t="str">
        <f t="shared" si="159"/>
        <v>х</v>
      </c>
      <c r="X149" s="4" t="str">
        <f t="shared" si="159"/>
        <v>х</v>
      </c>
      <c r="Y149" s="8" t="str">
        <f t="shared" si="159"/>
        <v>х</v>
      </c>
      <c r="Z149" s="4" t="str">
        <f t="shared" si="156"/>
        <v>х</v>
      </c>
      <c r="AA149" s="4" t="str">
        <f t="shared" si="156"/>
        <v>х</v>
      </c>
      <c r="AB149" s="4" t="str">
        <f t="shared" si="156"/>
        <v>х</v>
      </c>
      <c r="AC149" s="4" t="str">
        <f t="shared" si="156"/>
        <v>х</v>
      </c>
      <c r="AD149" s="4" t="str">
        <f t="shared" si="156"/>
        <v>х</v>
      </c>
      <c r="AE149" s="4" t="str">
        <f t="shared" si="136"/>
        <v>х</v>
      </c>
      <c r="AF149" s="4" t="str">
        <f t="shared" si="157"/>
        <v>х</v>
      </c>
      <c r="AG149" s="4" t="str">
        <f t="shared" si="157"/>
        <v>х</v>
      </c>
      <c r="AH149" s="4" t="str">
        <f t="shared" si="157"/>
        <v>х</v>
      </c>
      <c r="AI149" s="4" t="str">
        <f t="shared" si="157"/>
        <v>х</v>
      </c>
      <c r="AJ149" s="4" t="str">
        <f t="shared" si="157"/>
        <v>х</v>
      </c>
      <c r="AK149" s="7" t="str">
        <f t="shared" ref="AK149:BQ149" si="160">"х"</f>
        <v>х</v>
      </c>
      <c r="AL149" s="4" t="str">
        <f t="shared" si="160"/>
        <v>х</v>
      </c>
      <c r="AM149" s="4" t="str">
        <f t="shared" si="160"/>
        <v>х</v>
      </c>
      <c r="AN149" s="4" t="str">
        <f t="shared" si="160"/>
        <v>х</v>
      </c>
      <c r="AO149" s="4" t="str">
        <f t="shared" si="160"/>
        <v>х</v>
      </c>
      <c r="AP149" s="4" t="str">
        <f t="shared" si="160"/>
        <v>х</v>
      </c>
      <c r="AQ149" s="4" t="str">
        <f t="shared" si="160"/>
        <v>х</v>
      </c>
      <c r="AR149" s="4" t="str">
        <f t="shared" si="160"/>
        <v>х</v>
      </c>
      <c r="AS149" s="4" t="str">
        <f t="shared" si="160"/>
        <v>х</v>
      </c>
      <c r="AT149" s="4" t="str">
        <f t="shared" si="160"/>
        <v>х</v>
      </c>
      <c r="AU149" s="4" t="str">
        <f t="shared" si="160"/>
        <v>х</v>
      </c>
      <c r="AV149" s="4" t="str">
        <f t="shared" si="160"/>
        <v>х</v>
      </c>
      <c r="AW149" s="4" t="str">
        <f t="shared" si="160"/>
        <v>х</v>
      </c>
      <c r="AX149" s="4" t="str">
        <f t="shared" si="160"/>
        <v>х</v>
      </c>
      <c r="AY149" s="4" t="str">
        <f t="shared" si="160"/>
        <v>х</v>
      </c>
      <c r="AZ149" s="4" t="str">
        <f t="shared" si="160"/>
        <v>х</v>
      </c>
      <c r="BA149" s="4" t="str">
        <f t="shared" si="160"/>
        <v>х</v>
      </c>
      <c r="BB149" s="4" t="str">
        <f t="shared" si="160"/>
        <v>х</v>
      </c>
      <c r="BC149" s="4" t="str">
        <f t="shared" si="160"/>
        <v>х</v>
      </c>
      <c r="BD149" s="4" t="str">
        <f t="shared" si="160"/>
        <v>х</v>
      </c>
      <c r="BE149" s="4" t="str">
        <f t="shared" si="160"/>
        <v>х</v>
      </c>
      <c r="BF149" s="4" t="str">
        <f t="shared" si="160"/>
        <v>х</v>
      </c>
      <c r="BG149" s="4" t="str">
        <f t="shared" si="160"/>
        <v>х</v>
      </c>
      <c r="BH149" s="4" t="str">
        <f t="shared" si="160"/>
        <v>х</v>
      </c>
      <c r="BI149" s="4" t="str">
        <f t="shared" si="160"/>
        <v>х</v>
      </c>
      <c r="BJ149" s="4" t="str">
        <f t="shared" si="160"/>
        <v>х</v>
      </c>
      <c r="BK149" s="4" t="str">
        <f t="shared" si="160"/>
        <v>х</v>
      </c>
      <c r="BL149" s="4" t="str">
        <f t="shared" si="160"/>
        <v>х</v>
      </c>
      <c r="BM149" s="4" t="str">
        <f t="shared" si="160"/>
        <v>х</v>
      </c>
      <c r="BN149" s="4" t="str">
        <f t="shared" si="160"/>
        <v>х</v>
      </c>
      <c r="BO149" s="4" t="str">
        <f t="shared" si="160"/>
        <v>х</v>
      </c>
      <c r="BP149" s="4" t="str">
        <f t="shared" si="160"/>
        <v>х</v>
      </c>
      <c r="BQ149" s="4" t="str">
        <f t="shared" si="160"/>
        <v>х</v>
      </c>
      <c r="BR149" s="4" t="str">
        <f>"1957"</f>
        <v>1957</v>
      </c>
      <c r="BS149" s="4" t="str">
        <f>"59,00"</f>
        <v>59,00</v>
      </c>
      <c r="BT149" s="4" t="str">
        <f>"2017-2019"</f>
        <v>2017-2019</v>
      </c>
      <c r="BU149" s="4" t="str">
        <f t="shared" si="153"/>
        <v>нет</v>
      </c>
      <c r="BV149" s="4" t="str">
        <f t="shared" si="145"/>
        <v>x</v>
      </c>
      <c r="BW149" s="4" t="str">
        <f t="shared" si="145"/>
        <v>x</v>
      </c>
      <c r="BX149" s="4" t="str">
        <f t="shared" si="145"/>
        <v>x</v>
      </c>
      <c r="BY149" s="4" t="str">
        <f t="shared" si="154"/>
        <v>нет</v>
      </c>
      <c r="BZ149" s="4" t="str">
        <f t="shared" si="158"/>
        <v>x</v>
      </c>
      <c r="CA149" s="4" t="str">
        <f t="shared" si="158"/>
        <v>x</v>
      </c>
      <c r="CB149" s="4" t="str">
        <f t="shared" si="158"/>
        <v>x</v>
      </c>
      <c r="CC149" s="4" t="str">
        <f>"1957"</f>
        <v>1957</v>
      </c>
      <c r="CD149" s="4" t="str">
        <f>"57,00"</f>
        <v>57,00</v>
      </c>
      <c r="CE149" s="4" t="str">
        <f>"2031-2033"</f>
        <v>2031-2033</v>
      </c>
      <c r="CF149" s="4" t="str">
        <f>"1957"</f>
        <v>1957</v>
      </c>
      <c r="CG149" s="4" t="str">
        <f>"59,00"</f>
        <v>59,00</v>
      </c>
      <c r="CH149" s="4" t="str">
        <f>"2031-2033"</f>
        <v>2031-2033</v>
      </c>
      <c r="CI149" s="4" t="str">
        <f>"63,00"</f>
        <v>63,00</v>
      </c>
      <c r="CJ149" s="4" t="str">
        <f>"2017-2019"</f>
        <v>2017-2019</v>
      </c>
    </row>
    <row r="150" spans="1:88" ht="11.25" customHeight="1">
      <c r="A150" s="45" t="str">
        <f>"24.137"</f>
        <v>24.137</v>
      </c>
      <c r="B150" s="46" t="str">
        <f>"г. Харовск, ул.Колхозная, д.5"</f>
        <v>г. Харовск, ул.Колхозная, д.5</v>
      </c>
      <c r="C150" s="6" t="str">
        <f>"1959"</f>
        <v>1959</v>
      </c>
      <c r="D150" s="4" t="str">
        <f>"1959"</f>
        <v>1959</v>
      </c>
      <c r="E150" s="4" t="str">
        <f>"30,00"</f>
        <v>30,00</v>
      </c>
      <c r="F150" s="4" t="str">
        <f>"2028-2030"</f>
        <v>2028-2030</v>
      </c>
      <c r="G150" s="4" t="str">
        <f t="shared" si="150"/>
        <v>нет</v>
      </c>
      <c r="H150" s="4" t="str">
        <f>""</f>
        <v/>
      </c>
      <c r="I150" s="4" t="str">
        <f>""</f>
        <v/>
      </c>
      <c r="J150" s="4" t="str">
        <f>""</f>
        <v/>
      </c>
      <c r="K150" s="4" t="str">
        <f t="shared" si="151"/>
        <v>нет</v>
      </c>
      <c r="L150" s="4" t="str">
        <f>""</f>
        <v/>
      </c>
      <c r="M150" s="4" t="str">
        <f>""</f>
        <v/>
      </c>
      <c r="N150" s="4" t="str">
        <f>""</f>
        <v/>
      </c>
      <c r="O150" s="7" t="str">
        <f>"1959"</f>
        <v>1959</v>
      </c>
      <c r="P150" s="4" t="str">
        <f>"30,00"</f>
        <v>30,00</v>
      </c>
      <c r="Q150" s="4" t="str">
        <f>"2018-2020"</f>
        <v>2018-2020</v>
      </c>
      <c r="R150" s="4" t="str">
        <f>"нет"</f>
        <v>нет</v>
      </c>
      <c r="S150" s="4" t="str">
        <f>""</f>
        <v/>
      </c>
      <c r="T150" s="4" t="str">
        <f>""</f>
        <v/>
      </c>
      <c r="U150" s="4" t="str">
        <f>"2018-2020"</f>
        <v>2018-2020</v>
      </c>
      <c r="V150" s="4" t="str">
        <f>"нет"</f>
        <v>нет</v>
      </c>
      <c r="W150" s="4" t="str">
        <f>""</f>
        <v/>
      </c>
      <c r="X150" s="4" t="str">
        <f>""</f>
        <v/>
      </c>
      <c r="Y150" s="8" t="str">
        <f>""</f>
        <v/>
      </c>
      <c r="Z150" s="4" t="str">
        <f t="shared" si="156"/>
        <v>х</v>
      </c>
      <c r="AA150" s="4" t="str">
        <f t="shared" si="156"/>
        <v>х</v>
      </c>
      <c r="AB150" s="4" t="str">
        <f t="shared" si="156"/>
        <v>х</v>
      </c>
      <c r="AC150" s="4" t="str">
        <f t="shared" si="156"/>
        <v>х</v>
      </c>
      <c r="AD150" s="4" t="str">
        <f t="shared" si="156"/>
        <v>х</v>
      </c>
      <c r="AE150" s="4" t="str">
        <f t="shared" si="136"/>
        <v>х</v>
      </c>
      <c r="AF150" s="4" t="str">
        <f t="shared" si="157"/>
        <v>х</v>
      </c>
      <c r="AG150" s="4" t="str">
        <f t="shared" si="157"/>
        <v>х</v>
      </c>
      <c r="AH150" s="4" t="str">
        <f t="shared" si="157"/>
        <v>х</v>
      </c>
      <c r="AI150" s="4" t="str">
        <f t="shared" si="157"/>
        <v>х</v>
      </c>
      <c r="AJ150" s="4" t="str">
        <f t="shared" si="157"/>
        <v>х</v>
      </c>
      <c r="AK150" s="7" t="str">
        <f>"1959"</f>
        <v>1959</v>
      </c>
      <c r="AL150" s="4" t="str">
        <f>"30,00"</f>
        <v>30,00</v>
      </c>
      <c r="AM150" s="4" t="str">
        <f>"2028-2030"</f>
        <v>2028-2030</v>
      </c>
      <c r="AN150" s="4" t="str">
        <f>"нет"</f>
        <v>нет</v>
      </c>
      <c r="AO150" s="4" t="str">
        <f>""</f>
        <v/>
      </c>
      <c r="AP150" s="4" t="str">
        <f>""</f>
        <v/>
      </c>
      <c r="AQ150" s="4" t="str">
        <f>""</f>
        <v/>
      </c>
      <c r="AR150" s="4" t="str">
        <f>"нет"</f>
        <v>нет</v>
      </c>
      <c r="AS150" s="4" t="str">
        <f>""</f>
        <v/>
      </c>
      <c r="AT150" s="4" t="str">
        <f>""</f>
        <v/>
      </c>
      <c r="AU150" s="4" t="str">
        <f>""</f>
        <v/>
      </c>
      <c r="AV150" s="4" t="str">
        <f t="shared" ref="AV150:BF152" si="161">"х"</f>
        <v>х</v>
      </c>
      <c r="AW150" s="4" t="str">
        <f t="shared" si="161"/>
        <v>х</v>
      </c>
      <c r="AX150" s="4" t="str">
        <f t="shared" si="161"/>
        <v>х</v>
      </c>
      <c r="AY150" s="4" t="str">
        <f t="shared" si="161"/>
        <v>х</v>
      </c>
      <c r="AZ150" s="4" t="str">
        <f t="shared" si="161"/>
        <v>х</v>
      </c>
      <c r="BA150" s="4" t="str">
        <f t="shared" si="161"/>
        <v>х</v>
      </c>
      <c r="BB150" s="4" t="str">
        <f t="shared" si="161"/>
        <v>х</v>
      </c>
      <c r="BC150" s="4" t="str">
        <f t="shared" si="161"/>
        <v>х</v>
      </c>
      <c r="BD150" s="4" t="str">
        <f t="shared" si="161"/>
        <v>х</v>
      </c>
      <c r="BE150" s="4" t="str">
        <f t="shared" si="161"/>
        <v>х</v>
      </c>
      <c r="BF150" s="4" t="str">
        <f t="shared" si="161"/>
        <v>х</v>
      </c>
      <c r="BG150" s="4" t="str">
        <f>"1959"</f>
        <v>1959</v>
      </c>
      <c r="BH150" s="4" t="str">
        <f>"30,00"</f>
        <v>30,00</v>
      </c>
      <c r="BI150" s="4" t="str">
        <f>"2028-2030"</f>
        <v>2028-2030</v>
      </c>
      <c r="BJ150" s="4" t="str">
        <f>"нет"</f>
        <v>нет</v>
      </c>
      <c r="BK150" s="4" t="str">
        <f>""</f>
        <v/>
      </c>
      <c r="BL150" s="4" t="str">
        <f>""</f>
        <v/>
      </c>
      <c r="BM150" s="4" t="str">
        <f>""</f>
        <v/>
      </c>
      <c r="BN150" s="4" t="str">
        <f>"нет"</f>
        <v>нет</v>
      </c>
      <c r="BO150" s="4" t="str">
        <f>""</f>
        <v/>
      </c>
      <c r="BP150" s="4" t="str">
        <f>""</f>
        <v/>
      </c>
      <c r="BQ150" s="4" t="str">
        <f>""</f>
        <v/>
      </c>
      <c r="BR150" s="4" t="str">
        <f>"1959"</f>
        <v>1959</v>
      </c>
      <c r="BS150" s="4" t="str">
        <f>"60,00"</f>
        <v>60,00</v>
      </c>
      <c r="BT150" s="4" t="str">
        <f>"2018-2020"</f>
        <v>2018-2020</v>
      </c>
      <c r="BU150" s="4" t="str">
        <f t="shared" si="153"/>
        <v>нет</v>
      </c>
      <c r="BV150" s="4" t="str">
        <f t="shared" si="145"/>
        <v>x</v>
      </c>
      <c r="BW150" s="4" t="str">
        <f t="shared" si="145"/>
        <v>x</v>
      </c>
      <c r="BX150" s="4" t="str">
        <f t="shared" si="145"/>
        <v>x</v>
      </c>
      <c r="BY150" s="4" t="str">
        <f t="shared" si="154"/>
        <v>нет</v>
      </c>
      <c r="BZ150" s="4" t="str">
        <f t="shared" si="158"/>
        <v>x</v>
      </c>
      <c r="CA150" s="4" t="str">
        <f t="shared" si="158"/>
        <v>x</v>
      </c>
      <c r="CB150" s="4" t="str">
        <f t="shared" si="158"/>
        <v>x</v>
      </c>
      <c r="CC150" s="4" t="str">
        <f>"1959"</f>
        <v>1959</v>
      </c>
      <c r="CD150" s="4" t="str">
        <f>"60,00"</f>
        <v>60,00</v>
      </c>
      <c r="CE150" s="4" t="str">
        <f>"2018-2020"</f>
        <v>2018-2020</v>
      </c>
      <c r="CF150" s="4" t="str">
        <f>"1959"</f>
        <v>1959</v>
      </c>
      <c r="CG150" s="4" t="str">
        <f>"45,00"</f>
        <v>45,00</v>
      </c>
      <c r="CH150" s="4" t="str">
        <f>"2028-2030"</f>
        <v>2028-2030</v>
      </c>
      <c r="CI150" s="4" t="str">
        <f>"51,00"</f>
        <v>51,00</v>
      </c>
      <c r="CJ150" s="4" t="str">
        <f>"2018-2020"</f>
        <v>2018-2020</v>
      </c>
    </row>
    <row r="151" spans="1:88" ht="11.25" customHeight="1">
      <c r="A151" s="45" t="str">
        <f>"24.138"</f>
        <v>24.138</v>
      </c>
      <c r="B151" s="46" t="str">
        <f>"г. Харовск, ул.Красноармейская, д.5"</f>
        <v>г. Харовск, ул.Красноармейская, д.5</v>
      </c>
      <c r="C151" s="6" t="str">
        <f>"1961"</f>
        <v>1961</v>
      </c>
      <c r="D151" s="4" t="str">
        <f>"1961"</f>
        <v>1961</v>
      </c>
      <c r="E151" s="4" t="str">
        <f>"50,00"</f>
        <v>50,00</v>
      </c>
      <c r="F151" s="4" t="str">
        <f>"2033-2035"</f>
        <v>2033-2035</v>
      </c>
      <c r="G151" s="4" t="str">
        <f t="shared" si="150"/>
        <v>нет</v>
      </c>
      <c r="H151" s="4" t="str">
        <f>""</f>
        <v/>
      </c>
      <c r="I151" s="4" t="str">
        <f>""</f>
        <v/>
      </c>
      <c r="J151" s="4" t="str">
        <f>""</f>
        <v/>
      </c>
      <c r="K151" s="4" t="str">
        <f t="shared" si="151"/>
        <v>нет</v>
      </c>
      <c r="L151" s="4" t="str">
        <f>""</f>
        <v/>
      </c>
      <c r="M151" s="4" t="str">
        <f>""</f>
        <v/>
      </c>
      <c r="N151" s="4" t="str">
        <f>""</f>
        <v/>
      </c>
      <c r="O151" s="7" t="str">
        <f t="shared" ref="O151:Y152" si="162">"х"</f>
        <v>х</v>
      </c>
      <c r="P151" s="4" t="str">
        <f t="shared" si="162"/>
        <v>х</v>
      </c>
      <c r="Q151" s="4" t="str">
        <f t="shared" si="162"/>
        <v>х</v>
      </c>
      <c r="R151" s="4" t="str">
        <f t="shared" si="162"/>
        <v>х</v>
      </c>
      <c r="S151" s="4" t="str">
        <f t="shared" si="162"/>
        <v>х</v>
      </c>
      <c r="T151" s="4" t="str">
        <f t="shared" si="162"/>
        <v>х</v>
      </c>
      <c r="U151" s="4" t="str">
        <f t="shared" si="162"/>
        <v>х</v>
      </c>
      <c r="V151" s="4" t="str">
        <f t="shared" si="162"/>
        <v>х</v>
      </c>
      <c r="W151" s="4" t="str">
        <f t="shared" si="162"/>
        <v>х</v>
      </c>
      <c r="X151" s="4" t="str">
        <f t="shared" si="162"/>
        <v>х</v>
      </c>
      <c r="Y151" s="8" t="str">
        <f t="shared" si="162"/>
        <v>х</v>
      </c>
      <c r="Z151" s="4" t="str">
        <f t="shared" si="156"/>
        <v>х</v>
      </c>
      <c r="AA151" s="4" t="str">
        <f t="shared" si="156"/>
        <v>х</v>
      </c>
      <c r="AB151" s="4" t="str">
        <f t="shared" si="156"/>
        <v>х</v>
      </c>
      <c r="AC151" s="4" t="str">
        <f t="shared" si="156"/>
        <v>х</v>
      </c>
      <c r="AD151" s="4" t="str">
        <f t="shared" si="156"/>
        <v>х</v>
      </c>
      <c r="AE151" s="4" t="str">
        <f t="shared" si="136"/>
        <v>х</v>
      </c>
      <c r="AF151" s="4" t="str">
        <f t="shared" si="157"/>
        <v>х</v>
      </c>
      <c r="AG151" s="4" t="str">
        <f t="shared" si="157"/>
        <v>х</v>
      </c>
      <c r="AH151" s="4" t="str">
        <f t="shared" si="157"/>
        <v>х</v>
      </c>
      <c r="AI151" s="4" t="str">
        <f t="shared" si="157"/>
        <v>х</v>
      </c>
      <c r="AJ151" s="4" t="str">
        <f t="shared" si="157"/>
        <v>х</v>
      </c>
      <c r="AK151" s="7" t="str">
        <f t="shared" ref="AK151:AU151" si="163">"х"</f>
        <v>х</v>
      </c>
      <c r="AL151" s="4" t="str">
        <f t="shared" si="163"/>
        <v>х</v>
      </c>
      <c r="AM151" s="4" t="str">
        <f t="shared" si="163"/>
        <v>х</v>
      </c>
      <c r="AN151" s="4" t="str">
        <f t="shared" si="163"/>
        <v>х</v>
      </c>
      <c r="AO151" s="4" t="str">
        <f t="shared" si="163"/>
        <v>х</v>
      </c>
      <c r="AP151" s="4" t="str">
        <f t="shared" si="163"/>
        <v>х</v>
      </c>
      <c r="AQ151" s="4" t="str">
        <f t="shared" si="163"/>
        <v>х</v>
      </c>
      <c r="AR151" s="4" t="str">
        <f t="shared" si="163"/>
        <v>х</v>
      </c>
      <c r="AS151" s="4" t="str">
        <f t="shared" si="163"/>
        <v>х</v>
      </c>
      <c r="AT151" s="4" t="str">
        <f t="shared" si="163"/>
        <v>х</v>
      </c>
      <c r="AU151" s="4" t="str">
        <f t="shared" si="163"/>
        <v>х</v>
      </c>
      <c r="AV151" s="4" t="str">
        <f t="shared" si="161"/>
        <v>х</v>
      </c>
      <c r="AW151" s="4" t="str">
        <f t="shared" si="161"/>
        <v>х</v>
      </c>
      <c r="AX151" s="4" t="str">
        <f t="shared" si="161"/>
        <v>х</v>
      </c>
      <c r="AY151" s="4" t="str">
        <f t="shared" si="161"/>
        <v>х</v>
      </c>
      <c r="AZ151" s="4" t="str">
        <f t="shared" si="161"/>
        <v>х</v>
      </c>
      <c r="BA151" s="4" t="str">
        <f t="shared" si="161"/>
        <v>х</v>
      </c>
      <c r="BB151" s="4" t="str">
        <f t="shared" si="161"/>
        <v>х</v>
      </c>
      <c r="BC151" s="4" t="str">
        <f t="shared" si="161"/>
        <v>х</v>
      </c>
      <c r="BD151" s="4" t="str">
        <f t="shared" si="161"/>
        <v>х</v>
      </c>
      <c r="BE151" s="4" t="str">
        <f t="shared" si="161"/>
        <v>х</v>
      </c>
      <c r="BF151" s="4" t="str">
        <f t="shared" si="161"/>
        <v>х</v>
      </c>
      <c r="BG151" s="4" t="str">
        <f t="shared" ref="BG151:BQ151" si="164">"х"</f>
        <v>х</v>
      </c>
      <c r="BH151" s="4" t="str">
        <f t="shared" si="164"/>
        <v>х</v>
      </c>
      <c r="BI151" s="4" t="str">
        <f t="shared" si="164"/>
        <v>х</v>
      </c>
      <c r="BJ151" s="4" t="str">
        <f t="shared" si="164"/>
        <v>х</v>
      </c>
      <c r="BK151" s="4" t="str">
        <f t="shared" si="164"/>
        <v>х</v>
      </c>
      <c r="BL151" s="4" t="str">
        <f t="shared" si="164"/>
        <v>х</v>
      </c>
      <c r="BM151" s="4" t="str">
        <f t="shared" si="164"/>
        <v>х</v>
      </c>
      <c r="BN151" s="4" t="str">
        <f t="shared" si="164"/>
        <v>х</v>
      </c>
      <c r="BO151" s="4" t="str">
        <f t="shared" si="164"/>
        <v>х</v>
      </c>
      <c r="BP151" s="4" t="str">
        <f t="shared" si="164"/>
        <v>х</v>
      </c>
      <c r="BQ151" s="4" t="str">
        <f t="shared" si="164"/>
        <v>х</v>
      </c>
      <c r="BR151" s="4" t="str">
        <f>"1961"</f>
        <v>1961</v>
      </c>
      <c r="BS151" s="4" t="str">
        <f>"40,00"</f>
        <v>40,00</v>
      </c>
      <c r="BT151" s="4" t="str">
        <f>"2020-2022"</f>
        <v>2020-2022</v>
      </c>
      <c r="BU151" s="4" t="str">
        <f t="shared" si="153"/>
        <v>нет</v>
      </c>
      <c r="BV151" s="4" t="str">
        <f t="shared" si="145"/>
        <v>x</v>
      </c>
      <c r="BW151" s="4" t="str">
        <f t="shared" si="145"/>
        <v>x</v>
      </c>
      <c r="BX151" s="4" t="str">
        <f t="shared" si="145"/>
        <v>x</v>
      </c>
      <c r="BY151" s="4" t="str">
        <f t="shared" si="154"/>
        <v>нет</v>
      </c>
      <c r="BZ151" s="4" t="str">
        <f t="shared" si="158"/>
        <v>x</v>
      </c>
      <c r="CA151" s="4" t="str">
        <f t="shared" si="158"/>
        <v>x</v>
      </c>
      <c r="CB151" s="4" t="str">
        <f t="shared" si="158"/>
        <v>x</v>
      </c>
      <c r="CC151" s="4" t="str">
        <f>"1961"</f>
        <v>1961</v>
      </c>
      <c r="CD151" s="4" t="str">
        <f>"40,00"</f>
        <v>40,00</v>
      </c>
      <c r="CE151" s="4" t="str">
        <f>"2020-2022"</f>
        <v>2020-2022</v>
      </c>
      <c r="CF151" s="4" t="str">
        <f>"1961"</f>
        <v>1961</v>
      </c>
      <c r="CG151" s="4" t="str">
        <f>"40,00"</f>
        <v>40,00</v>
      </c>
      <c r="CH151" s="4" t="str">
        <f>"2033-2035"</f>
        <v>2033-2035</v>
      </c>
      <c r="CI151" s="4" t="str">
        <f>"48,00"</f>
        <v>48,00</v>
      </c>
      <c r="CJ151" s="4" t="str">
        <f>"2020-2022"</f>
        <v>2020-2022</v>
      </c>
    </row>
    <row r="152" spans="1:88" ht="11.25" customHeight="1">
      <c r="A152" s="45" t="str">
        <f>"24.139"</f>
        <v>24.139</v>
      </c>
      <c r="B152" s="46" t="str">
        <f>"г. Харовск, ул.Красноармейская, д.9"</f>
        <v>г. Харовск, ул.Красноармейская, д.9</v>
      </c>
      <c r="C152" s="6" t="str">
        <f>"1963"</f>
        <v>1963</v>
      </c>
      <c r="D152" s="4" t="str">
        <f>"1963"</f>
        <v>1963</v>
      </c>
      <c r="E152" s="4" t="str">
        <f>"55,00"</f>
        <v>55,00</v>
      </c>
      <c r="F152" s="4" t="str">
        <f>"2021-2023"</f>
        <v>2021-2023</v>
      </c>
      <c r="G152" s="4" t="str">
        <f t="shared" si="150"/>
        <v>нет</v>
      </c>
      <c r="H152" s="4" t="str">
        <f>""</f>
        <v/>
      </c>
      <c r="I152" s="4" t="str">
        <f>""</f>
        <v/>
      </c>
      <c r="J152" s="4" t="str">
        <f>""</f>
        <v/>
      </c>
      <c r="K152" s="4" t="str">
        <f t="shared" si="151"/>
        <v>нет</v>
      </c>
      <c r="L152" s="4" t="str">
        <f>""</f>
        <v/>
      </c>
      <c r="M152" s="4" t="str">
        <f>""</f>
        <v/>
      </c>
      <c r="N152" s="4" t="str">
        <f>""</f>
        <v/>
      </c>
      <c r="O152" s="7" t="str">
        <f t="shared" si="162"/>
        <v>х</v>
      </c>
      <c r="P152" s="4" t="str">
        <f t="shared" si="162"/>
        <v>х</v>
      </c>
      <c r="Q152" s="4" t="str">
        <f t="shared" si="162"/>
        <v>х</v>
      </c>
      <c r="R152" s="4" t="str">
        <f t="shared" si="162"/>
        <v>х</v>
      </c>
      <c r="S152" s="4" t="str">
        <f t="shared" si="162"/>
        <v>х</v>
      </c>
      <c r="T152" s="4" t="str">
        <f t="shared" si="162"/>
        <v>х</v>
      </c>
      <c r="U152" s="4" t="str">
        <f t="shared" si="162"/>
        <v>х</v>
      </c>
      <c r="V152" s="4" t="str">
        <f t="shared" si="162"/>
        <v>х</v>
      </c>
      <c r="W152" s="4" t="str">
        <f t="shared" si="162"/>
        <v>х</v>
      </c>
      <c r="X152" s="4" t="str">
        <f t="shared" si="162"/>
        <v>х</v>
      </c>
      <c r="Y152" s="8" t="str">
        <f t="shared" si="162"/>
        <v>х</v>
      </c>
      <c r="Z152" s="4" t="str">
        <f t="shared" si="156"/>
        <v>х</v>
      </c>
      <c r="AA152" s="4" t="str">
        <f t="shared" si="156"/>
        <v>х</v>
      </c>
      <c r="AB152" s="4" t="str">
        <f t="shared" si="156"/>
        <v>х</v>
      </c>
      <c r="AC152" s="4" t="str">
        <f t="shared" si="156"/>
        <v>х</v>
      </c>
      <c r="AD152" s="4" t="str">
        <f t="shared" si="156"/>
        <v>х</v>
      </c>
      <c r="AE152" s="4" t="str">
        <f t="shared" si="136"/>
        <v>х</v>
      </c>
      <c r="AF152" s="4" t="str">
        <f t="shared" si="157"/>
        <v>х</v>
      </c>
      <c r="AG152" s="4" t="str">
        <f t="shared" si="157"/>
        <v>х</v>
      </c>
      <c r="AH152" s="4" t="str">
        <f t="shared" si="157"/>
        <v>х</v>
      </c>
      <c r="AI152" s="4" t="str">
        <f t="shared" si="157"/>
        <v>х</v>
      </c>
      <c r="AJ152" s="4" t="str">
        <f t="shared" si="157"/>
        <v>х</v>
      </c>
      <c r="AK152" s="7" t="str">
        <f>"х"</f>
        <v>х</v>
      </c>
      <c r="AL152" s="4" t="str">
        <f>"х"</f>
        <v>х</v>
      </c>
      <c r="AM152" s="4" t="str">
        <f>"2021-2023"</f>
        <v>2021-2023</v>
      </c>
      <c r="AN152" s="4" t="str">
        <f t="shared" ref="AN152:AU152" si="165">"х"</f>
        <v>х</v>
      </c>
      <c r="AO152" s="4" t="str">
        <f t="shared" si="165"/>
        <v>х</v>
      </c>
      <c r="AP152" s="4" t="str">
        <f t="shared" si="165"/>
        <v>х</v>
      </c>
      <c r="AQ152" s="4" t="str">
        <f t="shared" si="165"/>
        <v>х</v>
      </c>
      <c r="AR152" s="4" t="str">
        <f t="shared" si="165"/>
        <v>х</v>
      </c>
      <c r="AS152" s="4" t="str">
        <f t="shared" si="165"/>
        <v>х</v>
      </c>
      <c r="AT152" s="4" t="str">
        <f t="shared" si="165"/>
        <v>х</v>
      </c>
      <c r="AU152" s="4" t="str">
        <f t="shared" si="165"/>
        <v>х</v>
      </c>
      <c r="AV152" s="4" t="str">
        <f t="shared" si="161"/>
        <v>х</v>
      </c>
      <c r="AW152" s="4" t="str">
        <f t="shared" si="161"/>
        <v>х</v>
      </c>
      <c r="AX152" s="4" t="str">
        <f t="shared" si="161"/>
        <v>х</v>
      </c>
      <c r="AY152" s="4" t="str">
        <f t="shared" si="161"/>
        <v>х</v>
      </c>
      <c r="AZ152" s="4" t="str">
        <f t="shared" si="161"/>
        <v>х</v>
      </c>
      <c r="BA152" s="4" t="str">
        <f t="shared" si="161"/>
        <v>х</v>
      </c>
      <c r="BB152" s="4" t="str">
        <f t="shared" si="161"/>
        <v>х</v>
      </c>
      <c r="BC152" s="4" t="str">
        <f t="shared" si="161"/>
        <v>х</v>
      </c>
      <c r="BD152" s="4" t="str">
        <f t="shared" si="161"/>
        <v>х</v>
      </c>
      <c r="BE152" s="4" t="str">
        <f t="shared" si="161"/>
        <v>х</v>
      </c>
      <c r="BF152" s="4" t="str">
        <f t="shared" si="161"/>
        <v>х</v>
      </c>
      <c r="BG152" s="4" t="str">
        <f>"х"</f>
        <v>х</v>
      </c>
      <c r="BH152" s="4" t="str">
        <f>"х"</f>
        <v>х</v>
      </c>
      <c r="BI152" s="4" t="str">
        <f>"2021-2023"</f>
        <v>2021-2023</v>
      </c>
      <c r="BJ152" s="4" t="str">
        <f t="shared" ref="BJ152:BQ152" si="166">"х"</f>
        <v>х</v>
      </c>
      <c r="BK152" s="4" t="str">
        <f t="shared" si="166"/>
        <v>х</v>
      </c>
      <c r="BL152" s="4" t="str">
        <f t="shared" si="166"/>
        <v>х</v>
      </c>
      <c r="BM152" s="4" t="str">
        <f t="shared" si="166"/>
        <v>х</v>
      </c>
      <c r="BN152" s="4" t="str">
        <f t="shared" si="166"/>
        <v>х</v>
      </c>
      <c r="BO152" s="4" t="str">
        <f t="shared" si="166"/>
        <v>х</v>
      </c>
      <c r="BP152" s="4" t="str">
        <f t="shared" si="166"/>
        <v>х</v>
      </c>
      <c r="BQ152" s="4" t="str">
        <f t="shared" si="166"/>
        <v>х</v>
      </c>
      <c r="BR152" s="4" t="str">
        <f>"1963"</f>
        <v>1963</v>
      </c>
      <c r="BS152" s="4" t="str">
        <f>"55,00"</f>
        <v>55,00</v>
      </c>
      <c r="BT152" s="4" t="str">
        <f>"2021-2023"</f>
        <v>2021-2023</v>
      </c>
      <c r="BU152" s="4" t="str">
        <f t="shared" si="153"/>
        <v>нет</v>
      </c>
      <c r="BV152" s="4" t="str">
        <f t="shared" si="145"/>
        <v>x</v>
      </c>
      <c r="BW152" s="4" t="str">
        <f t="shared" si="145"/>
        <v>x</v>
      </c>
      <c r="BX152" s="4" t="str">
        <f t="shared" si="145"/>
        <v>x</v>
      </c>
      <c r="BY152" s="4" t="str">
        <f t="shared" si="154"/>
        <v>нет</v>
      </c>
      <c r="BZ152" s="4" t="str">
        <f t="shared" si="158"/>
        <v>x</v>
      </c>
      <c r="CA152" s="4" t="str">
        <f t="shared" si="158"/>
        <v>x</v>
      </c>
      <c r="CB152" s="4" t="str">
        <f t="shared" si="158"/>
        <v>x</v>
      </c>
      <c r="CC152" s="4" t="str">
        <f>"1963"</f>
        <v>1963</v>
      </c>
      <c r="CD152" s="4" t="str">
        <f>"55,00"</f>
        <v>55,00</v>
      </c>
      <c r="CE152" s="4" t="str">
        <f>"2021-2023"</f>
        <v>2021-2023</v>
      </c>
      <c r="CF152" s="4" t="str">
        <f>"1963"</f>
        <v>1963</v>
      </c>
      <c r="CG152" s="4" t="str">
        <f>"55,00"</f>
        <v>55,00</v>
      </c>
      <c r="CH152" s="4" t="str">
        <f>"2041-2043"</f>
        <v>2041-2043</v>
      </c>
      <c r="CI152" s="4" t="str">
        <f>"53,00"</f>
        <v>53,00</v>
      </c>
      <c r="CJ152" s="4" t="str">
        <f>"2021-2023"</f>
        <v>2021-2023</v>
      </c>
    </row>
    <row r="153" spans="1:88" ht="11.25" customHeight="1">
      <c r="A153" s="45" t="str">
        <f>"24.140"</f>
        <v>24.140</v>
      </c>
      <c r="B153" s="46" t="str">
        <f>"г. Харовск, ул.Красное Знамя, д.26"</f>
        <v>г. Харовск, ул.Красное Знамя, д.26</v>
      </c>
      <c r="C153" s="6" t="str">
        <f>"1960"</f>
        <v>1960</v>
      </c>
      <c r="D153" s="4" t="str">
        <f>"2009"</f>
        <v>2009</v>
      </c>
      <c r="E153" s="4" t="str">
        <f>"0,00"</f>
        <v>0,00</v>
      </c>
      <c r="F153" s="4" t="str">
        <f>"2037-2039"</f>
        <v>2037-2039</v>
      </c>
      <c r="G153" s="4" t="str">
        <f t="shared" si="150"/>
        <v>нет</v>
      </c>
      <c r="H153" s="4" t="str">
        <f>""</f>
        <v/>
      </c>
      <c r="I153" s="4" t="str">
        <f>""</f>
        <v/>
      </c>
      <c r="J153" s="4" t="str">
        <f>""</f>
        <v/>
      </c>
      <c r="K153" s="4" t="str">
        <f t="shared" si="151"/>
        <v>нет</v>
      </c>
      <c r="L153" s="4" t="str">
        <f>""</f>
        <v/>
      </c>
      <c r="M153" s="4" t="str">
        <f>""</f>
        <v/>
      </c>
      <c r="N153" s="4" t="str">
        <f>""</f>
        <v/>
      </c>
      <c r="O153" s="7" t="str">
        <f>"2009"</f>
        <v>2009</v>
      </c>
      <c r="P153" s="4" t="str">
        <f>"0,00"</f>
        <v>0,00</v>
      </c>
      <c r="Q153" s="4" t="str">
        <f>"2037-2039"</f>
        <v>2037-2039</v>
      </c>
      <c r="R153" s="4" t="str">
        <f>"да"</f>
        <v>да</v>
      </c>
      <c r="S153" s="4" t="str">
        <f>"2009"</f>
        <v>2009</v>
      </c>
      <c r="T153" s="4" t="str">
        <f>"80,00"</f>
        <v>80,00</v>
      </c>
      <c r="U153" s="4" t="str">
        <f>"2037-2039"</f>
        <v>2037-2039</v>
      </c>
      <c r="V153" s="4" t="str">
        <f>"нет"</f>
        <v>нет</v>
      </c>
      <c r="W153" s="4" t="str">
        <f>""</f>
        <v/>
      </c>
      <c r="X153" s="4" t="str">
        <f>""</f>
        <v/>
      </c>
      <c r="Y153" s="8" t="str">
        <f>""</f>
        <v/>
      </c>
      <c r="Z153" s="4" t="str">
        <f t="shared" si="156"/>
        <v>х</v>
      </c>
      <c r="AA153" s="4" t="str">
        <f t="shared" si="156"/>
        <v>х</v>
      </c>
      <c r="AB153" s="4" t="str">
        <f t="shared" si="156"/>
        <v>х</v>
      </c>
      <c r="AC153" s="4" t="str">
        <f t="shared" si="156"/>
        <v>х</v>
      </c>
      <c r="AD153" s="4" t="str">
        <f t="shared" si="156"/>
        <v>х</v>
      </c>
      <c r="AE153" s="4" t="str">
        <f t="shared" si="136"/>
        <v>х</v>
      </c>
      <c r="AF153" s="4" t="str">
        <f t="shared" si="157"/>
        <v>х</v>
      </c>
      <c r="AG153" s="4" t="str">
        <f t="shared" si="157"/>
        <v>х</v>
      </c>
      <c r="AH153" s="4" t="str">
        <f t="shared" si="157"/>
        <v>х</v>
      </c>
      <c r="AI153" s="4" t="str">
        <f t="shared" si="157"/>
        <v>х</v>
      </c>
      <c r="AJ153" s="4" t="str">
        <f t="shared" si="157"/>
        <v>х</v>
      </c>
      <c r="AK153" s="7" t="str">
        <f>"2009"</f>
        <v>2009</v>
      </c>
      <c r="AL153" s="4" t="str">
        <f>"0,00"</f>
        <v>0,00</v>
      </c>
      <c r="AM153" s="4" t="str">
        <f>"2037-2039"</f>
        <v>2037-2039</v>
      </c>
      <c r="AN153" s="4" t="str">
        <f>"нет"</f>
        <v>нет</v>
      </c>
      <c r="AO153" s="4" t="str">
        <f>""</f>
        <v/>
      </c>
      <c r="AP153" s="4" t="str">
        <f>""</f>
        <v/>
      </c>
      <c r="AQ153" s="4" t="str">
        <f>""</f>
        <v/>
      </c>
      <c r="AR153" s="4" t="str">
        <f>"нет"</f>
        <v>нет</v>
      </c>
      <c r="AS153" s="4" t="str">
        <f>""</f>
        <v/>
      </c>
      <c r="AT153" s="4" t="str">
        <f>""</f>
        <v/>
      </c>
      <c r="AU153" s="4" t="str">
        <f>""</f>
        <v/>
      </c>
      <c r="AV153" s="4" t="str">
        <f>"2009"</f>
        <v>2009</v>
      </c>
      <c r="AW153" s="4" t="str">
        <f>"0,00"</f>
        <v>0,00</v>
      </c>
      <c r="AX153" s="4" t="str">
        <f>"2037-2039"</f>
        <v>2037-2039</v>
      </c>
      <c r="AY153" s="4" t="str">
        <f>"нет"</f>
        <v>нет</v>
      </c>
      <c r="AZ153" s="4" t="str">
        <f>""</f>
        <v/>
      </c>
      <c r="BA153" s="4" t="str">
        <f>""</f>
        <v/>
      </c>
      <c r="BB153" s="4" t="str">
        <f>""</f>
        <v/>
      </c>
      <c r="BC153" s="4" t="str">
        <f>"нет"</f>
        <v>нет</v>
      </c>
      <c r="BD153" s="4" t="str">
        <f>""</f>
        <v/>
      </c>
      <c r="BE153" s="4" t="str">
        <f>""</f>
        <v/>
      </c>
      <c r="BF153" s="4" t="str">
        <f>""</f>
        <v/>
      </c>
      <c r="BG153" s="4" t="str">
        <f>"2009"</f>
        <v>2009</v>
      </c>
      <c r="BH153" s="4" t="str">
        <f>"0,00"</f>
        <v>0,00</v>
      </c>
      <c r="BI153" s="4" t="str">
        <f>"2037-2039"</f>
        <v>2037-2039</v>
      </c>
      <c r="BJ153" s="4" t="str">
        <f>"нет"</f>
        <v>нет</v>
      </c>
      <c r="BK153" s="4" t="str">
        <f>""</f>
        <v/>
      </c>
      <c r="BL153" s="4" t="str">
        <f>""</f>
        <v/>
      </c>
      <c r="BM153" s="4" t="str">
        <f>""</f>
        <v/>
      </c>
      <c r="BN153" s="4" t="str">
        <f>"нет"</f>
        <v>нет</v>
      </c>
      <c r="BO153" s="4" t="str">
        <f>""</f>
        <v/>
      </c>
      <c r="BP153" s="4" t="str">
        <f>""</f>
        <v/>
      </c>
      <c r="BQ153" s="4" t="str">
        <f>""</f>
        <v/>
      </c>
      <c r="BR153" s="4" t="str">
        <f>"2009"</f>
        <v>2009</v>
      </c>
      <c r="BS153" s="4" t="str">
        <f>"0,00"</f>
        <v>0,00</v>
      </c>
      <c r="BT153" s="4" t="str">
        <f>"2037-2039"</f>
        <v>2037-2039</v>
      </c>
      <c r="BU153" s="4" t="str">
        <f t="shared" si="153"/>
        <v>нет</v>
      </c>
      <c r="BV153" s="4" t="str">
        <f t="shared" si="145"/>
        <v>x</v>
      </c>
      <c r="BW153" s="4" t="str">
        <f t="shared" si="145"/>
        <v>x</v>
      </c>
      <c r="BX153" s="4" t="str">
        <f t="shared" si="145"/>
        <v>x</v>
      </c>
      <c r="BY153" s="4" t="str">
        <f t="shared" si="154"/>
        <v>нет</v>
      </c>
      <c r="BZ153" s="4" t="str">
        <f t="shared" si="158"/>
        <v>x</v>
      </c>
      <c r="CA153" s="4" t="str">
        <f t="shared" si="158"/>
        <v>x</v>
      </c>
      <c r="CB153" s="4" t="str">
        <f t="shared" si="158"/>
        <v>x</v>
      </c>
      <c r="CC153" s="4" t="str">
        <f>"2009"</f>
        <v>2009</v>
      </c>
      <c r="CD153" s="4" t="str">
        <f>"55,00"</f>
        <v>55,00</v>
      </c>
      <c r="CE153" s="4" t="str">
        <f>"2037-2039"</f>
        <v>2037-2039</v>
      </c>
      <c r="CF153" s="4" t="str">
        <f>"1960"</f>
        <v>1960</v>
      </c>
      <c r="CG153" s="4" t="str">
        <f>"50,00"</f>
        <v>50,00</v>
      </c>
      <c r="CH153" s="4" t="str">
        <f>"2037-2039"</f>
        <v>2037-2039</v>
      </c>
      <c r="CI153" s="4" t="str">
        <f>"49,00"</f>
        <v>49,00</v>
      </c>
      <c r="CJ153" s="4" t="str">
        <f>"2037-2039"</f>
        <v>2037-2039</v>
      </c>
    </row>
    <row r="154" spans="1:88" ht="11.25" customHeight="1">
      <c r="A154" s="45" t="str">
        <f>"24.141"</f>
        <v>24.141</v>
      </c>
      <c r="B154" s="46" t="str">
        <f>"г. Харовск, ул.Красное Знамя, д.28"</f>
        <v>г. Харовск, ул.Красное Знамя, д.28</v>
      </c>
      <c r="C154" s="6" t="str">
        <f>"1959"</f>
        <v>1959</v>
      </c>
      <c r="D154" s="4" t="str">
        <f>"2009"</f>
        <v>2009</v>
      </c>
      <c r="E154" s="4" t="str">
        <f>"0,00"</f>
        <v>0,00</v>
      </c>
      <c r="F154" s="4" t="str">
        <f>"2037-2039"</f>
        <v>2037-2039</v>
      </c>
      <c r="G154" s="4" t="str">
        <f t="shared" si="150"/>
        <v>нет</v>
      </c>
      <c r="H154" s="4" t="str">
        <f>""</f>
        <v/>
      </c>
      <c r="I154" s="4" t="str">
        <f>""</f>
        <v/>
      </c>
      <c r="J154" s="4" t="str">
        <f>""</f>
        <v/>
      </c>
      <c r="K154" s="4" t="str">
        <f t="shared" si="151"/>
        <v>нет</v>
      </c>
      <c r="L154" s="4" t="str">
        <f>""</f>
        <v/>
      </c>
      <c r="M154" s="4" t="str">
        <f>""</f>
        <v/>
      </c>
      <c r="N154" s="4" t="str">
        <f>""</f>
        <v/>
      </c>
      <c r="O154" s="7" t="str">
        <f>"2009"</f>
        <v>2009</v>
      </c>
      <c r="P154" s="4" t="str">
        <f>"0,00"</f>
        <v>0,00</v>
      </c>
      <c r="Q154" s="4" t="str">
        <f>"2037-2039"</f>
        <v>2037-2039</v>
      </c>
      <c r="R154" s="4" t="str">
        <f>"да"</f>
        <v>да</v>
      </c>
      <c r="S154" s="4" t="str">
        <f>"2009"</f>
        <v>2009</v>
      </c>
      <c r="T154" s="4" t="str">
        <f>"80,00"</f>
        <v>80,00</v>
      </c>
      <c r="U154" s="4" t="str">
        <f>"2037-2039"</f>
        <v>2037-2039</v>
      </c>
      <c r="V154" s="4" t="str">
        <f>"нет"</f>
        <v>нет</v>
      </c>
      <c r="W154" s="4" t="str">
        <f>""</f>
        <v/>
      </c>
      <c r="X154" s="4" t="str">
        <f>""</f>
        <v/>
      </c>
      <c r="Y154" s="8" t="str">
        <f>""</f>
        <v/>
      </c>
      <c r="Z154" s="4" t="str">
        <f t="shared" si="156"/>
        <v>х</v>
      </c>
      <c r="AA154" s="4" t="str">
        <f t="shared" si="156"/>
        <v>х</v>
      </c>
      <c r="AB154" s="4" t="str">
        <f t="shared" si="156"/>
        <v>х</v>
      </c>
      <c r="AC154" s="4" t="str">
        <f t="shared" si="156"/>
        <v>х</v>
      </c>
      <c r="AD154" s="4" t="str">
        <f t="shared" si="156"/>
        <v>х</v>
      </c>
      <c r="AE154" s="4" t="str">
        <f t="shared" si="136"/>
        <v>х</v>
      </c>
      <c r="AF154" s="4" t="str">
        <f t="shared" si="157"/>
        <v>х</v>
      </c>
      <c r="AG154" s="4" t="str">
        <f t="shared" si="157"/>
        <v>х</v>
      </c>
      <c r="AH154" s="4" t="str">
        <f t="shared" si="157"/>
        <v>х</v>
      </c>
      <c r="AI154" s="4" t="str">
        <f t="shared" si="157"/>
        <v>х</v>
      </c>
      <c r="AJ154" s="4" t="str">
        <f t="shared" si="157"/>
        <v>х</v>
      </c>
      <c r="AK154" s="7" t="str">
        <f>"2009"</f>
        <v>2009</v>
      </c>
      <c r="AL154" s="4" t="str">
        <f>"0,00"</f>
        <v>0,00</v>
      </c>
      <c r="AM154" s="4" t="str">
        <f>"2037-2039"</f>
        <v>2037-2039</v>
      </c>
      <c r="AN154" s="4" t="str">
        <f>"нет"</f>
        <v>нет</v>
      </c>
      <c r="AO154" s="4" t="str">
        <f>""</f>
        <v/>
      </c>
      <c r="AP154" s="4" t="str">
        <f>""</f>
        <v/>
      </c>
      <c r="AQ154" s="4" t="str">
        <f>""</f>
        <v/>
      </c>
      <c r="AR154" s="4" t="str">
        <f>"нет"</f>
        <v>нет</v>
      </c>
      <c r="AS154" s="4" t="str">
        <f>""</f>
        <v/>
      </c>
      <c r="AT154" s="4" t="str">
        <f>""</f>
        <v/>
      </c>
      <c r="AU154" s="4" t="str">
        <f>""</f>
        <v/>
      </c>
      <c r="AV154" s="4" t="str">
        <f>"2009"</f>
        <v>2009</v>
      </c>
      <c r="AW154" s="4" t="str">
        <f>"0,00"</f>
        <v>0,00</v>
      </c>
      <c r="AX154" s="4" t="str">
        <f>"2037-2039"</f>
        <v>2037-2039</v>
      </c>
      <c r="AY154" s="4" t="str">
        <f>"нет"</f>
        <v>нет</v>
      </c>
      <c r="AZ154" s="4" t="str">
        <f>""</f>
        <v/>
      </c>
      <c r="BA154" s="4" t="str">
        <f>""</f>
        <v/>
      </c>
      <c r="BB154" s="4" t="str">
        <f>""</f>
        <v/>
      </c>
      <c r="BC154" s="4" t="str">
        <f>"нет"</f>
        <v>нет</v>
      </c>
      <c r="BD154" s="4" t="str">
        <f>""</f>
        <v/>
      </c>
      <c r="BE154" s="4" t="str">
        <f>""</f>
        <v/>
      </c>
      <c r="BF154" s="4" t="str">
        <f>""</f>
        <v/>
      </c>
      <c r="BG154" s="4" t="str">
        <f>"2009"</f>
        <v>2009</v>
      </c>
      <c r="BH154" s="4" t="str">
        <f>"0,00"</f>
        <v>0,00</v>
      </c>
      <c r="BI154" s="4" t="str">
        <f>"2037-2039"</f>
        <v>2037-2039</v>
      </c>
      <c r="BJ154" s="4" t="str">
        <f>"нет"</f>
        <v>нет</v>
      </c>
      <c r="BK154" s="4" t="str">
        <f>""</f>
        <v/>
      </c>
      <c r="BL154" s="4" t="str">
        <f>""</f>
        <v/>
      </c>
      <c r="BM154" s="4" t="str">
        <f>""</f>
        <v/>
      </c>
      <c r="BN154" s="4" t="str">
        <f>"нет"</f>
        <v>нет</v>
      </c>
      <c r="BO154" s="4" t="str">
        <f>""</f>
        <v/>
      </c>
      <c r="BP154" s="4" t="str">
        <f>""</f>
        <v/>
      </c>
      <c r="BQ154" s="4" t="str">
        <f>""</f>
        <v/>
      </c>
      <c r="BR154" s="4" t="str">
        <f>"2009"</f>
        <v>2009</v>
      </c>
      <c r="BS154" s="4" t="str">
        <f>"0,00"</f>
        <v>0,00</v>
      </c>
      <c r="BT154" s="4" t="str">
        <f>"2037-2039"</f>
        <v>2037-2039</v>
      </c>
      <c r="BU154" s="4" t="str">
        <f t="shared" si="153"/>
        <v>нет</v>
      </c>
      <c r="BV154" s="4" t="str">
        <f t="shared" ref="BV154:BX173" si="167">"x"</f>
        <v>x</v>
      </c>
      <c r="BW154" s="4" t="str">
        <f t="shared" si="167"/>
        <v>x</v>
      </c>
      <c r="BX154" s="4" t="str">
        <f t="shared" si="167"/>
        <v>x</v>
      </c>
      <c r="BY154" s="4" t="str">
        <f t="shared" si="154"/>
        <v>нет</v>
      </c>
      <c r="BZ154" s="4" t="str">
        <f t="shared" si="158"/>
        <v>x</v>
      </c>
      <c r="CA154" s="4" t="str">
        <f t="shared" si="158"/>
        <v>x</v>
      </c>
      <c r="CB154" s="4" t="str">
        <f t="shared" si="158"/>
        <v>x</v>
      </c>
      <c r="CC154" s="4" t="str">
        <f>"2009"</f>
        <v>2009</v>
      </c>
      <c r="CD154" s="4" t="str">
        <f>"0,00"</f>
        <v>0,00</v>
      </c>
      <c r="CE154" s="4" t="str">
        <f>"2037-2039"</f>
        <v>2037-2039</v>
      </c>
      <c r="CF154" s="4" t="str">
        <f>"1959"</f>
        <v>1959</v>
      </c>
      <c r="CG154" s="4" t="str">
        <f>"50,00"</f>
        <v>50,00</v>
      </c>
      <c r="CH154" s="4" t="str">
        <f>"2037-2039"</f>
        <v>2037-2039</v>
      </c>
      <c r="CI154" s="4" t="str">
        <f>"49,00"</f>
        <v>49,00</v>
      </c>
      <c r="CJ154" s="4" t="str">
        <f>"2037-2039"</f>
        <v>2037-2039</v>
      </c>
    </row>
    <row r="155" spans="1:88" ht="11.25" customHeight="1">
      <c r="A155" s="45" t="str">
        <f>"24.142"</f>
        <v>24.142</v>
      </c>
      <c r="B155" s="46" t="str">
        <f>"г. Харовск, ул.Кубенская, д.19"</f>
        <v>г. Харовск, ул.Кубенская, д.19</v>
      </c>
      <c r="C155" s="6" t="str">
        <f>"1985"</f>
        <v>1985</v>
      </c>
      <c r="D155" s="4" t="str">
        <f>"1985"</f>
        <v>1985</v>
      </c>
      <c r="E155" s="4" t="str">
        <f>"45,00"</f>
        <v>45,00</v>
      </c>
      <c r="F155" s="4" t="str">
        <f>"2030-2032"</f>
        <v>2030-2032</v>
      </c>
      <c r="G155" s="4" t="str">
        <f t="shared" si="150"/>
        <v>нет</v>
      </c>
      <c r="H155" s="4" t="str">
        <f>""</f>
        <v/>
      </c>
      <c r="I155" s="4" t="str">
        <f>""</f>
        <v/>
      </c>
      <c r="J155" s="4" t="str">
        <f>""</f>
        <v/>
      </c>
      <c r="K155" s="4" t="str">
        <f t="shared" si="151"/>
        <v>нет</v>
      </c>
      <c r="L155" s="4" t="str">
        <f>""</f>
        <v/>
      </c>
      <c r="M155" s="4" t="str">
        <f>""</f>
        <v/>
      </c>
      <c r="N155" s="4" t="str">
        <f>""</f>
        <v/>
      </c>
      <c r="O155" s="7" t="str">
        <f t="shared" ref="O155:Y156" si="168">"х"</f>
        <v>х</v>
      </c>
      <c r="P155" s="4" t="str">
        <f t="shared" si="168"/>
        <v>х</v>
      </c>
      <c r="Q155" s="4" t="str">
        <f t="shared" si="168"/>
        <v>х</v>
      </c>
      <c r="R155" s="4" t="str">
        <f t="shared" si="168"/>
        <v>х</v>
      </c>
      <c r="S155" s="4" t="str">
        <f t="shared" si="168"/>
        <v>х</v>
      </c>
      <c r="T155" s="4" t="str">
        <f t="shared" si="168"/>
        <v>х</v>
      </c>
      <c r="U155" s="4" t="str">
        <f t="shared" si="168"/>
        <v>х</v>
      </c>
      <c r="V155" s="4" t="str">
        <f t="shared" si="168"/>
        <v>х</v>
      </c>
      <c r="W155" s="4" t="str">
        <f t="shared" si="168"/>
        <v>х</v>
      </c>
      <c r="X155" s="4" t="str">
        <f t="shared" si="168"/>
        <v>х</v>
      </c>
      <c r="Y155" s="8" t="str">
        <f t="shared" si="168"/>
        <v>х</v>
      </c>
      <c r="Z155" s="4" t="str">
        <f t="shared" si="156"/>
        <v>х</v>
      </c>
      <c r="AA155" s="4" t="str">
        <f t="shared" si="156"/>
        <v>х</v>
      </c>
      <c r="AB155" s="4" t="str">
        <f t="shared" si="156"/>
        <v>х</v>
      </c>
      <c r="AC155" s="4" t="str">
        <f t="shared" si="156"/>
        <v>х</v>
      </c>
      <c r="AD155" s="4" t="str">
        <f t="shared" si="156"/>
        <v>х</v>
      </c>
      <c r="AE155" s="4" t="str">
        <f t="shared" si="136"/>
        <v>х</v>
      </c>
      <c r="AF155" s="4" t="str">
        <f t="shared" si="157"/>
        <v>х</v>
      </c>
      <c r="AG155" s="4" t="str">
        <f t="shared" si="157"/>
        <v>х</v>
      </c>
      <c r="AH155" s="4" t="str">
        <f t="shared" si="157"/>
        <v>х</v>
      </c>
      <c r="AI155" s="4" t="str">
        <f t="shared" si="157"/>
        <v>х</v>
      </c>
      <c r="AJ155" s="4" t="str">
        <f t="shared" si="157"/>
        <v>х</v>
      </c>
      <c r="AK155" s="7" t="str">
        <f t="shared" ref="AK155:AT156" si="169">"х"</f>
        <v>х</v>
      </c>
      <c r="AL155" s="4" t="str">
        <f t="shared" si="169"/>
        <v>х</v>
      </c>
      <c r="AM155" s="4" t="str">
        <f t="shared" si="169"/>
        <v>х</v>
      </c>
      <c r="AN155" s="4" t="str">
        <f t="shared" si="169"/>
        <v>х</v>
      </c>
      <c r="AO155" s="4" t="str">
        <f t="shared" si="169"/>
        <v>х</v>
      </c>
      <c r="AP155" s="4" t="str">
        <f t="shared" si="169"/>
        <v>х</v>
      </c>
      <c r="AQ155" s="4" t="str">
        <f t="shared" si="169"/>
        <v>х</v>
      </c>
      <c r="AR155" s="4" t="str">
        <f t="shared" si="169"/>
        <v>х</v>
      </c>
      <c r="AS155" s="4" t="str">
        <f t="shared" si="169"/>
        <v>х</v>
      </c>
      <c r="AT155" s="4" t="str">
        <f t="shared" si="169"/>
        <v>х</v>
      </c>
      <c r="AU155" s="4" t="str">
        <f t="shared" ref="AU155:BD156" si="170">"х"</f>
        <v>х</v>
      </c>
      <c r="AV155" s="4" t="str">
        <f t="shared" si="170"/>
        <v>х</v>
      </c>
      <c r="AW155" s="4" t="str">
        <f t="shared" si="170"/>
        <v>х</v>
      </c>
      <c r="AX155" s="4" t="str">
        <f t="shared" si="170"/>
        <v>х</v>
      </c>
      <c r="AY155" s="4" t="str">
        <f t="shared" si="170"/>
        <v>х</v>
      </c>
      <c r="AZ155" s="4" t="str">
        <f t="shared" si="170"/>
        <v>х</v>
      </c>
      <c r="BA155" s="4" t="str">
        <f t="shared" si="170"/>
        <v>х</v>
      </c>
      <c r="BB155" s="4" t="str">
        <f t="shared" si="170"/>
        <v>х</v>
      </c>
      <c r="BC155" s="4" t="str">
        <f t="shared" si="170"/>
        <v>х</v>
      </c>
      <c r="BD155" s="4" t="str">
        <f t="shared" si="170"/>
        <v>х</v>
      </c>
      <c r="BE155" s="4" t="str">
        <f t="shared" ref="BE155:BQ156" si="171">"х"</f>
        <v>х</v>
      </c>
      <c r="BF155" s="4" t="str">
        <f t="shared" si="171"/>
        <v>х</v>
      </c>
      <c r="BG155" s="4" t="str">
        <f t="shared" si="171"/>
        <v>х</v>
      </c>
      <c r="BH155" s="4" t="str">
        <f t="shared" si="171"/>
        <v>х</v>
      </c>
      <c r="BI155" s="4" t="str">
        <f t="shared" si="171"/>
        <v>х</v>
      </c>
      <c r="BJ155" s="4" t="str">
        <f t="shared" si="171"/>
        <v>х</v>
      </c>
      <c r="BK155" s="4" t="str">
        <f t="shared" si="171"/>
        <v>х</v>
      </c>
      <c r="BL155" s="4" t="str">
        <f t="shared" si="171"/>
        <v>х</v>
      </c>
      <c r="BM155" s="4" t="str">
        <f t="shared" si="171"/>
        <v>х</v>
      </c>
      <c r="BN155" s="4" t="str">
        <f t="shared" si="171"/>
        <v>х</v>
      </c>
      <c r="BO155" s="4" t="str">
        <f t="shared" si="171"/>
        <v>х</v>
      </c>
      <c r="BP155" s="4" t="str">
        <f t="shared" si="171"/>
        <v>х</v>
      </c>
      <c r="BQ155" s="4" t="str">
        <f t="shared" si="171"/>
        <v>х</v>
      </c>
      <c r="BR155" s="4" t="str">
        <f>"1985"</f>
        <v>1985</v>
      </c>
      <c r="BS155" s="4" t="str">
        <f>"45,00"</f>
        <v>45,00</v>
      </c>
      <c r="BT155" s="4" t="str">
        <f>"2030-2032"</f>
        <v>2030-2032</v>
      </c>
      <c r="BU155" s="4" t="str">
        <f t="shared" si="153"/>
        <v>нет</v>
      </c>
      <c r="BV155" s="4" t="str">
        <f t="shared" si="167"/>
        <v>x</v>
      </c>
      <c r="BW155" s="4" t="str">
        <f t="shared" si="167"/>
        <v>x</v>
      </c>
      <c r="BX155" s="4" t="str">
        <f t="shared" si="167"/>
        <v>x</v>
      </c>
      <c r="BY155" s="4" t="str">
        <f t="shared" si="154"/>
        <v>нет</v>
      </c>
      <c r="BZ155" s="4" t="str">
        <f t="shared" si="158"/>
        <v>x</v>
      </c>
      <c r="CA155" s="4" t="str">
        <f t="shared" si="158"/>
        <v>x</v>
      </c>
      <c r="CB155" s="4" t="str">
        <f t="shared" si="158"/>
        <v>x</v>
      </c>
      <c r="CC155" s="4" t="str">
        <f>"1985"</f>
        <v>1985</v>
      </c>
      <c r="CD155" s="4" t="str">
        <f>"55,00"</f>
        <v>55,00</v>
      </c>
      <c r="CE155" s="4" t="str">
        <f>"2030-2032"</f>
        <v>2030-2032</v>
      </c>
      <c r="CF155" s="4" t="str">
        <f>"1985"</f>
        <v>1985</v>
      </c>
      <c r="CG155" s="4" t="str">
        <f>"35,00"</f>
        <v>35,00</v>
      </c>
      <c r="CH155" s="4" t="str">
        <f>"2030-2032"</f>
        <v>2030-2032</v>
      </c>
      <c r="CI155" s="4" t="str">
        <f>"48,00"</f>
        <v>48,00</v>
      </c>
      <c r="CJ155" s="4" t="str">
        <f>"2030-2032"</f>
        <v>2030-2032</v>
      </c>
    </row>
    <row r="156" spans="1:88" ht="11.25" customHeight="1">
      <c r="A156" s="45" t="str">
        <f>"24.143"</f>
        <v>24.143</v>
      </c>
      <c r="B156" s="46" t="str">
        <f>"г. Харовск, ул.Кубенская, д.9"</f>
        <v>г. Харовск, ул.Кубенская, д.9</v>
      </c>
      <c r="C156" s="6" t="str">
        <f>"1985"</f>
        <v>1985</v>
      </c>
      <c r="D156" s="4" t="str">
        <f>"1985"</f>
        <v>1985</v>
      </c>
      <c r="E156" s="4" t="str">
        <f>"30,00"</f>
        <v>30,00</v>
      </c>
      <c r="F156" s="4" t="str">
        <f>"2030-2032"</f>
        <v>2030-2032</v>
      </c>
      <c r="G156" s="4" t="str">
        <f t="shared" si="150"/>
        <v>нет</v>
      </c>
      <c r="H156" s="4" t="str">
        <f>""</f>
        <v/>
      </c>
      <c r="I156" s="4" t="str">
        <f>""</f>
        <v/>
      </c>
      <c r="J156" s="4" t="str">
        <f>""</f>
        <v/>
      </c>
      <c r="K156" s="4" t="str">
        <f t="shared" si="151"/>
        <v>нет</v>
      </c>
      <c r="L156" s="4" t="str">
        <f>""</f>
        <v/>
      </c>
      <c r="M156" s="4" t="str">
        <f>""</f>
        <v/>
      </c>
      <c r="N156" s="4" t="str">
        <f>""</f>
        <v/>
      </c>
      <c r="O156" s="7" t="str">
        <f t="shared" si="168"/>
        <v>х</v>
      </c>
      <c r="P156" s="4" t="str">
        <f t="shared" si="168"/>
        <v>х</v>
      </c>
      <c r="Q156" s="4" t="str">
        <f t="shared" si="168"/>
        <v>х</v>
      </c>
      <c r="R156" s="4" t="str">
        <f t="shared" si="168"/>
        <v>х</v>
      </c>
      <c r="S156" s="4" t="str">
        <f t="shared" si="168"/>
        <v>х</v>
      </c>
      <c r="T156" s="4" t="str">
        <f t="shared" si="168"/>
        <v>х</v>
      </c>
      <c r="U156" s="4" t="str">
        <f t="shared" si="168"/>
        <v>х</v>
      </c>
      <c r="V156" s="4" t="str">
        <f t="shared" si="168"/>
        <v>х</v>
      </c>
      <c r="W156" s="4" t="str">
        <f t="shared" si="168"/>
        <v>х</v>
      </c>
      <c r="X156" s="4" t="str">
        <f t="shared" si="168"/>
        <v>х</v>
      </c>
      <c r="Y156" s="8" t="str">
        <f t="shared" si="168"/>
        <v>х</v>
      </c>
      <c r="Z156" s="4" t="str">
        <f t="shared" ref="Z156:AD167" si="172">"х"</f>
        <v>х</v>
      </c>
      <c r="AA156" s="4" t="str">
        <f t="shared" si="172"/>
        <v>х</v>
      </c>
      <c r="AB156" s="4" t="str">
        <f t="shared" si="172"/>
        <v>х</v>
      </c>
      <c r="AC156" s="4" t="str">
        <f t="shared" si="172"/>
        <v>х</v>
      </c>
      <c r="AD156" s="4" t="str">
        <f t="shared" si="172"/>
        <v>х</v>
      </c>
      <c r="AE156" s="4" t="str">
        <f t="shared" si="136"/>
        <v>х</v>
      </c>
      <c r="AF156" s="4" t="str">
        <f t="shared" ref="AF156:AJ167" si="173">"х"</f>
        <v>х</v>
      </c>
      <c r="AG156" s="4" t="str">
        <f t="shared" si="173"/>
        <v>х</v>
      </c>
      <c r="AH156" s="4" t="str">
        <f t="shared" si="173"/>
        <v>х</v>
      </c>
      <c r="AI156" s="4" t="str">
        <f t="shared" si="173"/>
        <v>х</v>
      </c>
      <c r="AJ156" s="4" t="str">
        <f t="shared" si="173"/>
        <v>х</v>
      </c>
      <c r="AK156" s="7" t="str">
        <f t="shared" si="169"/>
        <v>х</v>
      </c>
      <c r="AL156" s="4" t="str">
        <f t="shared" si="169"/>
        <v>х</v>
      </c>
      <c r="AM156" s="4" t="str">
        <f t="shared" si="169"/>
        <v>х</v>
      </c>
      <c r="AN156" s="4" t="str">
        <f t="shared" si="169"/>
        <v>х</v>
      </c>
      <c r="AO156" s="4" t="str">
        <f t="shared" si="169"/>
        <v>х</v>
      </c>
      <c r="AP156" s="4" t="str">
        <f t="shared" si="169"/>
        <v>х</v>
      </c>
      <c r="AQ156" s="4" t="str">
        <f t="shared" si="169"/>
        <v>х</v>
      </c>
      <c r="AR156" s="4" t="str">
        <f t="shared" si="169"/>
        <v>х</v>
      </c>
      <c r="AS156" s="4" t="str">
        <f t="shared" si="169"/>
        <v>х</v>
      </c>
      <c r="AT156" s="4" t="str">
        <f t="shared" si="169"/>
        <v>х</v>
      </c>
      <c r="AU156" s="4" t="str">
        <f t="shared" si="170"/>
        <v>х</v>
      </c>
      <c r="AV156" s="4" t="str">
        <f t="shared" si="170"/>
        <v>х</v>
      </c>
      <c r="AW156" s="4" t="str">
        <f t="shared" si="170"/>
        <v>х</v>
      </c>
      <c r="AX156" s="4" t="str">
        <f t="shared" si="170"/>
        <v>х</v>
      </c>
      <c r="AY156" s="4" t="str">
        <f t="shared" si="170"/>
        <v>х</v>
      </c>
      <c r="AZ156" s="4" t="str">
        <f t="shared" si="170"/>
        <v>х</v>
      </c>
      <c r="BA156" s="4" t="str">
        <f t="shared" si="170"/>
        <v>х</v>
      </c>
      <c r="BB156" s="4" t="str">
        <f t="shared" si="170"/>
        <v>х</v>
      </c>
      <c r="BC156" s="4" t="str">
        <f t="shared" si="170"/>
        <v>х</v>
      </c>
      <c r="BD156" s="4" t="str">
        <f t="shared" si="170"/>
        <v>х</v>
      </c>
      <c r="BE156" s="4" t="str">
        <f t="shared" si="171"/>
        <v>х</v>
      </c>
      <c r="BF156" s="4" t="str">
        <f t="shared" si="171"/>
        <v>х</v>
      </c>
      <c r="BG156" s="4" t="str">
        <f t="shared" si="171"/>
        <v>х</v>
      </c>
      <c r="BH156" s="4" t="str">
        <f t="shared" si="171"/>
        <v>х</v>
      </c>
      <c r="BI156" s="4" t="str">
        <f t="shared" si="171"/>
        <v>х</v>
      </c>
      <c r="BJ156" s="4" t="str">
        <f t="shared" si="171"/>
        <v>х</v>
      </c>
      <c r="BK156" s="4" t="str">
        <f t="shared" si="171"/>
        <v>х</v>
      </c>
      <c r="BL156" s="4" t="str">
        <f t="shared" si="171"/>
        <v>х</v>
      </c>
      <c r="BM156" s="4" t="str">
        <f t="shared" si="171"/>
        <v>х</v>
      </c>
      <c r="BN156" s="4" t="str">
        <f t="shared" si="171"/>
        <v>х</v>
      </c>
      <c r="BO156" s="4" t="str">
        <f t="shared" si="171"/>
        <v>х</v>
      </c>
      <c r="BP156" s="4" t="str">
        <f t="shared" si="171"/>
        <v>х</v>
      </c>
      <c r="BQ156" s="4" t="str">
        <f t="shared" si="171"/>
        <v>х</v>
      </c>
      <c r="BR156" s="4" t="str">
        <f>"1985"</f>
        <v>1985</v>
      </c>
      <c r="BS156" s="4" t="str">
        <f>"45,00"</f>
        <v>45,00</v>
      </c>
      <c r="BT156" s="4" t="str">
        <f>"2030-2032"</f>
        <v>2030-2032</v>
      </c>
      <c r="BU156" s="4" t="str">
        <f t="shared" si="153"/>
        <v>нет</v>
      </c>
      <c r="BV156" s="4" t="str">
        <f t="shared" si="167"/>
        <v>x</v>
      </c>
      <c r="BW156" s="4" t="str">
        <f t="shared" si="167"/>
        <v>x</v>
      </c>
      <c r="BX156" s="4" t="str">
        <f t="shared" si="167"/>
        <v>x</v>
      </c>
      <c r="BY156" s="4" t="str">
        <f t="shared" si="154"/>
        <v>нет</v>
      </c>
      <c r="BZ156" s="4" t="str">
        <f t="shared" si="158"/>
        <v>x</v>
      </c>
      <c r="CA156" s="4" t="str">
        <f t="shared" si="158"/>
        <v>x</v>
      </c>
      <c r="CB156" s="4" t="str">
        <f t="shared" si="158"/>
        <v>x</v>
      </c>
      <c r="CC156" s="4" t="str">
        <f>"1985"</f>
        <v>1985</v>
      </c>
      <c r="CD156" s="4" t="str">
        <f>"45,00"</f>
        <v>45,00</v>
      </c>
      <c r="CE156" s="4" t="str">
        <f>"2030-2032"</f>
        <v>2030-2032</v>
      </c>
      <c r="CF156" s="4" t="str">
        <f>"1985"</f>
        <v>1985</v>
      </c>
      <c r="CG156" s="4" t="str">
        <f>"30,00"</f>
        <v>30,00</v>
      </c>
      <c r="CH156" s="4" t="str">
        <f>"2030-2032"</f>
        <v>2030-2032</v>
      </c>
      <c r="CI156" s="4" t="str">
        <f>"39,00"</f>
        <v>39,00</v>
      </c>
      <c r="CJ156" s="4" t="str">
        <f>"2030-2032"</f>
        <v>2030-2032</v>
      </c>
    </row>
    <row r="157" spans="1:88" ht="11.25" customHeight="1">
      <c r="A157" s="45" t="str">
        <f>"24.144"</f>
        <v>24.144</v>
      </c>
      <c r="B157" s="46" t="str">
        <f>"г. Харовск, ул.Куйбышева, д.15"</f>
        <v>г. Харовск, ул.Куйбышева, д.15</v>
      </c>
      <c r="C157" s="6" t="str">
        <f>"1995"</f>
        <v>1995</v>
      </c>
      <c r="D157" s="4" t="str">
        <f>"1995"</f>
        <v>1995</v>
      </c>
      <c r="E157" s="4" t="str">
        <f>"30,00"</f>
        <v>30,00</v>
      </c>
      <c r="F157" s="4" t="str">
        <f>"2035-2037"</f>
        <v>2035-2037</v>
      </c>
      <c r="G157" s="4" t="str">
        <f t="shared" si="150"/>
        <v>нет</v>
      </c>
      <c r="H157" s="4" t="str">
        <f>""</f>
        <v/>
      </c>
      <c r="I157" s="4" t="str">
        <f>""</f>
        <v/>
      </c>
      <c r="J157" s="4" t="str">
        <f>""</f>
        <v/>
      </c>
      <c r="K157" s="4" t="str">
        <f t="shared" si="151"/>
        <v>нет</v>
      </c>
      <c r="L157" s="4" t="str">
        <f>""</f>
        <v/>
      </c>
      <c r="M157" s="4" t="str">
        <f>""</f>
        <v/>
      </c>
      <c r="N157" s="4" t="str">
        <f>""</f>
        <v/>
      </c>
      <c r="O157" s="7" t="str">
        <f>"1995"</f>
        <v>1995</v>
      </c>
      <c r="P157" s="4" t="str">
        <f>"30,00"</f>
        <v>30,00</v>
      </c>
      <c r="Q157" s="4" t="str">
        <f>"2035-2037"</f>
        <v>2035-2037</v>
      </c>
      <c r="R157" s="4" t="str">
        <f>"да"</f>
        <v>да</v>
      </c>
      <c r="S157" s="4" t="str">
        <f>"2009"</f>
        <v>2009</v>
      </c>
      <c r="T157" s="4" t="str">
        <f>"75,00"</f>
        <v>75,00</v>
      </c>
      <c r="U157" s="4" t="str">
        <f>"2035-2037"</f>
        <v>2035-2037</v>
      </c>
      <c r="V157" s="4" t="str">
        <f>"нет"</f>
        <v>нет</v>
      </c>
      <c r="W157" s="4" t="str">
        <f>""</f>
        <v/>
      </c>
      <c r="X157" s="4" t="str">
        <f>""</f>
        <v/>
      </c>
      <c r="Y157" s="8" t="str">
        <f>""</f>
        <v/>
      </c>
      <c r="Z157" s="4" t="str">
        <f t="shared" si="172"/>
        <v>х</v>
      </c>
      <c r="AA157" s="4" t="str">
        <f t="shared" si="172"/>
        <v>х</v>
      </c>
      <c r="AB157" s="4" t="str">
        <f t="shared" si="172"/>
        <v>х</v>
      </c>
      <c r="AC157" s="4" t="str">
        <f t="shared" si="172"/>
        <v>х</v>
      </c>
      <c r="AD157" s="4" t="str">
        <f t="shared" si="172"/>
        <v>х</v>
      </c>
      <c r="AE157" s="4" t="str">
        <f t="shared" si="136"/>
        <v>х</v>
      </c>
      <c r="AF157" s="4" t="str">
        <f t="shared" si="173"/>
        <v>х</v>
      </c>
      <c r="AG157" s="4" t="str">
        <f t="shared" si="173"/>
        <v>х</v>
      </c>
      <c r="AH157" s="4" t="str">
        <f t="shared" si="173"/>
        <v>х</v>
      </c>
      <c r="AI157" s="4" t="str">
        <f t="shared" si="173"/>
        <v>х</v>
      </c>
      <c r="AJ157" s="4" t="str">
        <f t="shared" si="173"/>
        <v>х</v>
      </c>
      <c r="AK157" s="7" t="str">
        <f>"1995"</f>
        <v>1995</v>
      </c>
      <c r="AL157" s="4" t="str">
        <f>"30,00"</f>
        <v>30,00</v>
      </c>
      <c r="AM157" s="4" t="str">
        <f>"2035-2037"</f>
        <v>2035-2037</v>
      </c>
      <c r="AN157" s="4" t="str">
        <f>"нет"</f>
        <v>нет</v>
      </c>
      <c r="AO157" s="4" t="str">
        <f>""</f>
        <v/>
      </c>
      <c r="AP157" s="4" t="str">
        <f>""</f>
        <v/>
      </c>
      <c r="AQ157" s="4" t="str">
        <f>""</f>
        <v/>
      </c>
      <c r="AR157" s="4" t="str">
        <f>"нет"</f>
        <v>нет</v>
      </c>
      <c r="AS157" s="4" t="str">
        <f>""</f>
        <v/>
      </c>
      <c r="AT157" s="4" t="str">
        <f>""</f>
        <v/>
      </c>
      <c r="AU157" s="4" t="str">
        <f>""</f>
        <v/>
      </c>
      <c r="AV157" s="4" t="str">
        <f>"1995"</f>
        <v>1995</v>
      </c>
      <c r="AW157" s="4" t="str">
        <f>"30,00"</f>
        <v>30,00</v>
      </c>
      <c r="AX157" s="4" t="str">
        <f>"2035-2037"</f>
        <v>2035-2037</v>
      </c>
      <c r="AY157" s="4" t="str">
        <f>"нет"</f>
        <v>нет</v>
      </c>
      <c r="AZ157" s="4" t="str">
        <f>""</f>
        <v/>
      </c>
      <c r="BA157" s="4" t="str">
        <f>""</f>
        <v/>
      </c>
      <c r="BB157" s="4" t="str">
        <f>""</f>
        <v/>
      </c>
      <c r="BC157" s="4" t="str">
        <f>"нет"</f>
        <v>нет</v>
      </c>
      <c r="BD157" s="4" t="str">
        <f>""</f>
        <v/>
      </c>
      <c r="BE157" s="4" t="str">
        <f>""</f>
        <v/>
      </c>
      <c r="BF157" s="4" t="str">
        <f>""</f>
        <v/>
      </c>
      <c r="BG157" s="4" t="str">
        <f>"1995"</f>
        <v>1995</v>
      </c>
      <c r="BH157" s="4" t="str">
        <f>"30,00"</f>
        <v>30,00</v>
      </c>
      <c r="BI157" s="4" t="str">
        <f>"2035-2037"</f>
        <v>2035-2037</v>
      </c>
      <c r="BJ157" s="4" t="str">
        <f>"нет"</f>
        <v>нет</v>
      </c>
      <c r="BK157" s="4" t="str">
        <f>""</f>
        <v/>
      </c>
      <c r="BL157" s="4" t="str">
        <f>""</f>
        <v/>
      </c>
      <c r="BM157" s="4" t="str">
        <f>""</f>
        <v/>
      </c>
      <c r="BN157" s="4" t="str">
        <f>"нет"</f>
        <v>нет</v>
      </c>
      <c r="BO157" s="4" t="str">
        <f>""</f>
        <v/>
      </c>
      <c r="BP157" s="4" t="str">
        <f>""</f>
        <v/>
      </c>
      <c r="BQ157" s="4" t="str">
        <f>""</f>
        <v/>
      </c>
      <c r="BR157" s="4" t="str">
        <f>"1995"</f>
        <v>1995</v>
      </c>
      <c r="BS157" s="4" t="str">
        <f>"35,00"</f>
        <v>35,00</v>
      </c>
      <c r="BT157" s="4" t="str">
        <f>"2035-2037"</f>
        <v>2035-2037</v>
      </c>
      <c r="BU157" s="4" t="str">
        <f t="shared" si="153"/>
        <v>нет</v>
      </c>
      <c r="BV157" s="4" t="str">
        <f t="shared" si="167"/>
        <v>x</v>
      </c>
      <c r="BW157" s="4" t="str">
        <f t="shared" si="167"/>
        <v>x</v>
      </c>
      <c r="BX157" s="4" t="str">
        <f t="shared" si="167"/>
        <v>x</v>
      </c>
      <c r="BY157" s="4" t="str">
        <f t="shared" si="154"/>
        <v>нет</v>
      </c>
      <c r="BZ157" s="4" t="str">
        <f t="shared" si="158"/>
        <v>x</v>
      </c>
      <c r="CA157" s="4" t="str">
        <f t="shared" si="158"/>
        <v>x</v>
      </c>
      <c r="CB157" s="4" t="str">
        <f t="shared" si="158"/>
        <v>x</v>
      </c>
      <c r="CC157" s="4" t="str">
        <f>"1995"</f>
        <v>1995</v>
      </c>
      <c r="CD157" s="4" t="str">
        <f>"25,00"</f>
        <v>25,00</v>
      </c>
      <c r="CE157" s="4" t="str">
        <f>"2035-2037"</f>
        <v>2035-2037</v>
      </c>
      <c r="CF157" s="4" t="str">
        <f>"1995"</f>
        <v>1995</v>
      </c>
      <c r="CG157" s="4" t="str">
        <f>"15,00"</f>
        <v>15,00</v>
      </c>
      <c r="CH157" s="4" t="str">
        <f>"2035-2037"</f>
        <v>2035-2037</v>
      </c>
      <c r="CI157" s="4" t="str">
        <f>"19,00"</f>
        <v>19,00</v>
      </c>
      <c r="CJ157" s="4" t="str">
        <f>"2035-2037"</f>
        <v>2035-2037</v>
      </c>
    </row>
    <row r="158" spans="1:88" ht="11.25" customHeight="1">
      <c r="A158" s="45" t="str">
        <f>"24.145"</f>
        <v>24.145</v>
      </c>
      <c r="B158" s="46" t="str">
        <f>"г. Харовск, ул.Ленина, д.24"</f>
        <v>г. Харовск, ул.Ленина, д.24</v>
      </c>
      <c r="C158" s="6" t="str">
        <f>"1960"</f>
        <v>1960</v>
      </c>
      <c r="D158" s="4" t="str">
        <f>"1960"</f>
        <v>1960</v>
      </c>
      <c r="E158" s="4" t="str">
        <f>"55,00"</f>
        <v>55,00</v>
      </c>
      <c r="F158" s="4" t="str">
        <f>"2039-2041"</f>
        <v>2039-2041</v>
      </c>
      <c r="G158" s="4" t="str">
        <f t="shared" si="150"/>
        <v>нет</v>
      </c>
      <c r="H158" s="4" t="str">
        <f>""</f>
        <v/>
      </c>
      <c r="I158" s="4" t="str">
        <f>""</f>
        <v/>
      </c>
      <c r="J158" s="4" t="str">
        <f>""</f>
        <v/>
      </c>
      <c r="K158" s="4" t="str">
        <f t="shared" si="151"/>
        <v>нет</v>
      </c>
      <c r="L158" s="4" t="str">
        <f>""</f>
        <v/>
      </c>
      <c r="M158" s="4" t="str">
        <f>""</f>
        <v/>
      </c>
      <c r="N158" s="4" t="str">
        <f>""</f>
        <v/>
      </c>
      <c r="O158" s="7" t="str">
        <f t="shared" ref="O158:P161" si="174">"х"</f>
        <v>х</v>
      </c>
      <c r="P158" s="4" t="str">
        <f t="shared" si="174"/>
        <v>х</v>
      </c>
      <c r="Q158" s="4" t="str">
        <f>"2019-2021"</f>
        <v>2019-2021</v>
      </c>
      <c r="R158" s="4" t="str">
        <f t="shared" ref="R158:T161" si="175">"х"</f>
        <v>х</v>
      </c>
      <c r="S158" s="4" t="str">
        <f t="shared" si="175"/>
        <v>х</v>
      </c>
      <c r="T158" s="4" t="str">
        <f t="shared" si="175"/>
        <v>х</v>
      </c>
      <c r="U158" s="4" t="str">
        <f>"2019-2021"</f>
        <v>2019-2021</v>
      </c>
      <c r="V158" s="4" t="str">
        <f t="shared" ref="V158:Y161" si="176">"х"</f>
        <v>х</v>
      </c>
      <c r="W158" s="4" t="str">
        <f t="shared" si="176"/>
        <v>х</v>
      </c>
      <c r="X158" s="4" t="str">
        <f t="shared" si="176"/>
        <v>х</v>
      </c>
      <c r="Y158" s="8" t="str">
        <f t="shared" si="176"/>
        <v>х</v>
      </c>
      <c r="Z158" s="4" t="str">
        <f t="shared" si="172"/>
        <v>х</v>
      </c>
      <c r="AA158" s="4" t="str">
        <f t="shared" si="172"/>
        <v>х</v>
      </c>
      <c r="AB158" s="4" t="str">
        <f t="shared" si="172"/>
        <v>х</v>
      </c>
      <c r="AC158" s="4" t="str">
        <f t="shared" si="172"/>
        <v>х</v>
      </c>
      <c r="AD158" s="4" t="str">
        <f t="shared" si="172"/>
        <v>х</v>
      </c>
      <c r="AE158" s="4" t="str">
        <f t="shared" si="136"/>
        <v>х</v>
      </c>
      <c r="AF158" s="4" t="str">
        <f t="shared" si="173"/>
        <v>х</v>
      </c>
      <c r="AG158" s="4" t="str">
        <f t="shared" si="173"/>
        <v>х</v>
      </c>
      <c r="AH158" s="4" t="str">
        <f t="shared" si="173"/>
        <v>х</v>
      </c>
      <c r="AI158" s="4" t="str">
        <f t="shared" si="173"/>
        <v>х</v>
      </c>
      <c r="AJ158" s="4" t="str">
        <f t="shared" si="173"/>
        <v>х</v>
      </c>
      <c r="AK158" s="7" t="str">
        <f>"2012"</f>
        <v>2012</v>
      </c>
      <c r="AL158" s="4" t="str">
        <f>"0,00"</f>
        <v>0,00</v>
      </c>
      <c r="AM158" s="4" t="str">
        <f>"2044-2046"</f>
        <v>2044-2046</v>
      </c>
      <c r="AN158" s="4" t="str">
        <f t="shared" ref="AN158:AW161" si="177">"х"</f>
        <v>х</v>
      </c>
      <c r="AO158" s="4" t="str">
        <f t="shared" si="177"/>
        <v>х</v>
      </c>
      <c r="AP158" s="4" t="str">
        <f t="shared" si="177"/>
        <v>х</v>
      </c>
      <c r="AQ158" s="4" t="str">
        <f t="shared" si="177"/>
        <v>х</v>
      </c>
      <c r="AR158" s="4" t="str">
        <f t="shared" si="177"/>
        <v>х</v>
      </c>
      <c r="AS158" s="4" t="str">
        <f t="shared" si="177"/>
        <v>х</v>
      </c>
      <c r="AT158" s="4" t="str">
        <f t="shared" si="177"/>
        <v>х</v>
      </c>
      <c r="AU158" s="4" t="str">
        <f t="shared" si="177"/>
        <v>х</v>
      </c>
      <c r="AV158" s="4" t="str">
        <f t="shared" si="177"/>
        <v>х</v>
      </c>
      <c r="AW158" s="4" t="str">
        <f t="shared" si="177"/>
        <v>х</v>
      </c>
      <c r="AX158" s="4" t="str">
        <f t="shared" ref="AX158:BG161" si="178">"х"</f>
        <v>х</v>
      </c>
      <c r="AY158" s="4" t="str">
        <f t="shared" si="178"/>
        <v>х</v>
      </c>
      <c r="AZ158" s="4" t="str">
        <f t="shared" si="178"/>
        <v>х</v>
      </c>
      <c r="BA158" s="4" t="str">
        <f t="shared" si="178"/>
        <v>х</v>
      </c>
      <c r="BB158" s="4" t="str">
        <f t="shared" si="178"/>
        <v>х</v>
      </c>
      <c r="BC158" s="4" t="str">
        <f t="shared" si="178"/>
        <v>х</v>
      </c>
      <c r="BD158" s="4" t="str">
        <f t="shared" si="178"/>
        <v>х</v>
      </c>
      <c r="BE158" s="4" t="str">
        <f t="shared" si="178"/>
        <v>х</v>
      </c>
      <c r="BF158" s="4" t="str">
        <f t="shared" si="178"/>
        <v>х</v>
      </c>
      <c r="BG158" s="4" t="str">
        <f t="shared" si="178"/>
        <v>х</v>
      </c>
      <c r="BH158" s="4" t="str">
        <f t="shared" ref="BH158:BQ161" si="179">"х"</f>
        <v>х</v>
      </c>
      <c r="BI158" s="4" t="str">
        <f t="shared" si="179"/>
        <v>х</v>
      </c>
      <c r="BJ158" s="4" t="str">
        <f t="shared" si="179"/>
        <v>х</v>
      </c>
      <c r="BK158" s="4" t="str">
        <f t="shared" si="179"/>
        <v>х</v>
      </c>
      <c r="BL158" s="4" t="str">
        <f t="shared" si="179"/>
        <v>х</v>
      </c>
      <c r="BM158" s="4" t="str">
        <f t="shared" si="179"/>
        <v>х</v>
      </c>
      <c r="BN158" s="4" t="str">
        <f t="shared" si="179"/>
        <v>х</v>
      </c>
      <c r="BO158" s="4" t="str">
        <f t="shared" si="179"/>
        <v>х</v>
      </c>
      <c r="BP158" s="4" t="str">
        <f t="shared" si="179"/>
        <v>х</v>
      </c>
      <c r="BQ158" s="4" t="str">
        <f t="shared" si="179"/>
        <v>х</v>
      </c>
      <c r="BR158" s="4" t="str">
        <f>"1960"</f>
        <v>1960</v>
      </c>
      <c r="BS158" s="4" t="str">
        <f>"55,00"</f>
        <v>55,00</v>
      </c>
      <c r="BT158" s="4" t="str">
        <f>"2019-2021"</f>
        <v>2019-2021</v>
      </c>
      <c r="BU158" s="4" t="str">
        <f t="shared" si="153"/>
        <v>нет</v>
      </c>
      <c r="BV158" s="4" t="str">
        <f t="shared" si="167"/>
        <v>x</v>
      </c>
      <c r="BW158" s="4" t="str">
        <f t="shared" si="167"/>
        <v>x</v>
      </c>
      <c r="BX158" s="4" t="str">
        <f t="shared" si="167"/>
        <v>x</v>
      </c>
      <c r="BY158" s="4" t="str">
        <f t="shared" si="154"/>
        <v>нет</v>
      </c>
      <c r="BZ158" s="4" t="str">
        <f t="shared" si="158"/>
        <v>x</v>
      </c>
      <c r="CA158" s="4" t="str">
        <f t="shared" si="158"/>
        <v>x</v>
      </c>
      <c r="CB158" s="4" t="str">
        <f t="shared" si="158"/>
        <v>x</v>
      </c>
      <c r="CC158" s="4" t="str">
        <f>"1960"</f>
        <v>1960</v>
      </c>
      <c r="CD158" s="4" t="str">
        <f>"60,00"</f>
        <v>60,00</v>
      </c>
      <c r="CE158" s="4" t="str">
        <f>"2044-2046"</f>
        <v>2044-2046</v>
      </c>
      <c r="CF158" s="4" t="str">
        <f>"1960"</f>
        <v>1960</v>
      </c>
      <c r="CG158" s="4" t="str">
        <f>"45,00"</f>
        <v>45,00</v>
      </c>
      <c r="CH158" s="4" t="str">
        <f>"2044-2046"</f>
        <v>2044-2046</v>
      </c>
      <c r="CI158" s="4" t="str">
        <f>"56,00"</f>
        <v>56,00</v>
      </c>
      <c r="CJ158" s="4" t="str">
        <f>"2019-2021"</f>
        <v>2019-2021</v>
      </c>
    </row>
    <row r="159" spans="1:88" ht="11.25" customHeight="1">
      <c r="A159" s="45" t="str">
        <f>"24.146"</f>
        <v>24.146</v>
      </c>
      <c r="B159" s="46" t="str">
        <f>"г. Харовск, ул.Ленина, д.26"</f>
        <v>г. Харовск, ул.Ленина, д.26</v>
      </c>
      <c r="C159" s="6" t="str">
        <f>"1960"</f>
        <v>1960</v>
      </c>
      <c r="D159" s="4" t="str">
        <f>"1960"</f>
        <v>1960</v>
      </c>
      <c r="E159" s="4" t="str">
        <f>"55,00"</f>
        <v>55,00</v>
      </c>
      <c r="F159" s="4" t="str">
        <f>"2044-2046"</f>
        <v>2044-2046</v>
      </c>
      <c r="G159" s="4" t="str">
        <f t="shared" si="150"/>
        <v>нет</v>
      </c>
      <c r="H159" s="4" t="str">
        <f>""</f>
        <v/>
      </c>
      <c r="I159" s="4" t="str">
        <f>""</f>
        <v/>
      </c>
      <c r="J159" s="4" t="str">
        <f>""</f>
        <v/>
      </c>
      <c r="K159" s="4" t="str">
        <f t="shared" si="151"/>
        <v>нет</v>
      </c>
      <c r="L159" s="4" t="str">
        <f>""</f>
        <v/>
      </c>
      <c r="M159" s="4" t="str">
        <f>""</f>
        <v/>
      </c>
      <c r="N159" s="4" t="str">
        <f>""</f>
        <v/>
      </c>
      <c r="O159" s="7" t="str">
        <f t="shared" si="174"/>
        <v>х</v>
      </c>
      <c r="P159" s="4" t="str">
        <f t="shared" si="174"/>
        <v>х</v>
      </c>
      <c r="Q159" s="4" t="str">
        <f>"2019-2021"</f>
        <v>2019-2021</v>
      </c>
      <c r="R159" s="4" t="str">
        <f t="shared" si="175"/>
        <v>х</v>
      </c>
      <c r="S159" s="4" t="str">
        <f t="shared" si="175"/>
        <v>х</v>
      </c>
      <c r="T159" s="4" t="str">
        <f t="shared" si="175"/>
        <v>х</v>
      </c>
      <c r="U159" s="4" t="str">
        <f>"2019-2021"</f>
        <v>2019-2021</v>
      </c>
      <c r="V159" s="4" t="str">
        <f t="shared" si="176"/>
        <v>х</v>
      </c>
      <c r="W159" s="4" t="str">
        <f t="shared" si="176"/>
        <v>х</v>
      </c>
      <c r="X159" s="4" t="str">
        <f t="shared" si="176"/>
        <v>х</v>
      </c>
      <c r="Y159" s="8" t="str">
        <f t="shared" si="176"/>
        <v>х</v>
      </c>
      <c r="Z159" s="4" t="str">
        <f t="shared" si="172"/>
        <v>х</v>
      </c>
      <c r="AA159" s="4" t="str">
        <f t="shared" si="172"/>
        <v>х</v>
      </c>
      <c r="AB159" s="4" t="str">
        <f t="shared" si="172"/>
        <v>х</v>
      </c>
      <c r="AC159" s="4" t="str">
        <f t="shared" si="172"/>
        <v>х</v>
      </c>
      <c r="AD159" s="4" t="str">
        <f t="shared" si="172"/>
        <v>х</v>
      </c>
      <c r="AE159" s="4" t="str">
        <f t="shared" si="136"/>
        <v>х</v>
      </c>
      <c r="AF159" s="4" t="str">
        <f t="shared" si="173"/>
        <v>х</v>
      </c>
      <c r="AG159" s="4" t="str">
        <f t="shared" si="173"/>
        <v>х</v>
      </c>
      <c r="AH159" s="4" t="str">
        <f t="shared" si="173"/>
        <v>х</v>
      </c>
      <c r="AI159" s="4" t="str">
        <f t="shared" si="173"/>
        <v>х</v>
      </c>
      <c r="AJ159" s="4" t="str">
        <f t="shared" si="173"/>
        <v>х</v>
      </c>
      <c r="AK159" s="7" t="str">
        <f>"2012"</f>
        <v>2012</v>
      </c>
      <c r="AL159" s="4" t="str">
        <f>"0,00"</f>
        <v>0,00</v>
      </c>
      <c r="AM159" s="4" t="str">
        <f>"2044-2046"</f>
        <v>2044-2046</v>
      </c>
      <c r="AN159" s="4" t="str">
        <f t="shared" si="177"/>
        <v>х</v>
      </c>
      <c r="AO159" s="4" t="str">
        <f t="shared" si="177"/>
        <v>х</v>
      </c>
      <c r="AP159" s="4" t="str">
        <f t="shared" si="177"/>
        <v>х</v>
      </c>
      <c r="AQ159" s="4" t="str">
        <f t="shared" si="177"/>
        <v>х</v>
      </c>
      <c r="AR159" s="4" t="str">
        <f t="shared" si="177"/>
        <v>х</v>
      </c>
      <c r="AS159" s="4" t="str">
        <f t="shared" si="177"/>
        <v>х</v>
      </c>
      <c r="AT159" s="4" t="str">
        <f t="shared" si="177"/>
        <v>х</v>
      </c>
      <c r="AU159" s="4" t="str">
        <f t="shared" si="177"/>
        <v>х</v>
      </c>
      <c r="AV159" s="4" t="str">
        <f t="shared" si="177"/>
        <v>х</v>
      </c>
      <c r="AW159" s="4" t="str">
        <f t="shared" si="177"/>
        <v>х</v>
      </c>
      <c r="AX159" s="4" t="str">
        <f t="shared" si="178"/>
        <v>х</v>
      </c>
      <c r="AY159" s="4" t="str">
        <f t="shared" si="178"/>
        <v>х</v>
      </c>
      <c r="AZ159" s="4" t="str">
        <f t="shared" si="178"/>
        <v>х</v>
      </c>
      <c r="BA159" s="4" t="str">
        <f t="shared" si="178"/>
        <v>х</v>
      </c>
      <c r="BB159" s="4" t="str">
        <f t="shared" si="178"/>
        <v>х</v>
      </c>
      <c r="BC159" s="4" t="str">
        <f t="shared" si="178"/>
        <v>х</v>
      </c>
      <c r="BD159" s="4" t="str">
        <f t="shared" si="178"/>
        <v>х</v>
      </c>
      <c r="BE159" s="4" t="str">
        <f t="shared" si="178"/>
        <v>х</v>
      </c>
      <c r="BF159" s="4" t="str">
        <f t="shared" si="178"/>
        <v>х</v>
      </c>
      <c r="BG159" s="4" t="str">
        <f t="shared" si="178"/>
        <v>х</v>
      </c>
      <c r="BH159" s="4" t="str">
        <f t="shared" si="179"/>
        <v>х</v>
      </c>
      <c r="BI159" s="4" t="str">
        <f t="shared" si="179"/>
        <v>х</v>
      </c>
      <c r="BJ159" s="4" t="str">
        <f t="shared" si="179"/>
        <v>х</v>
      </c>
      <c r="BK159" s="4" t="str">
        <f t="shared" si="179"/>
        <v>х</v>
      </c>
      <c r="BL159" s="4" t="str">
        <f t="shared" si="179"/>
        <v>х</v>
      </c>
      <c r="BM159" s="4" t="str">
        <f t="shared" si="179"/>
        <v>х</v>
      </c>
      <c r="BN159" s="4" t="str">
        <f t="shared" si="179"/>
        <v>х</v>
      </c>
      <c r="BO159" s="4" t="str">
        <f t="shared" si="179"/>
        <v>х</v>
      </c>
      <c r="BP159" s="4" t="str">
        <f t="shared" si="179"/>
        <v>х</v>
      </c>
      <c r="BQ159" s="4" t="str">
        <f t="shared" si="179"/>
        <v>х</v>
      </c>
      <c r="BR159" s="4" t="str">
        <f>"1960"</f>
        <v>1960</v>
      </c>
      <c r="BS159" s="4" t="str">
        <f>"45,00"</f>
        <v>45,00</v>
      </c>
      <c r="BT159" s="4" t="str">
        <f>"2019-2021"</f>
        <v>2019-2021</v>
      </c>
      <c r="BU159" s="4" t="str">
        <f t="shared" si="153"/>
        <v>нет</v>
      </c>
      <c r="BV159" s="4" t="str">
        <f t="shared" si="167"/>
        <v>x</v>
      </c>
      <c r="BW159" s="4" t="str">
        <f t="shared" si="167"/>
        <v>x</v>
      </c>
      <c r="BX159" s="4" t="str">
        <f t="shared" si="167"/>
        <v>x</v>
      </c>
      <c r="BY159" s="4" t="str">
        <f t="shared" si="154"/>
        <v>нет</v>
      </c>
      <c r="BZ159" s="4" t="str">
        <f t="shared" si="158"/>
        <v>x</v>
      </c>
      <c r="CA159" s="4" t="str">
        <f t="shared" si="158"/>
        <v>x</v>
      </c>
      <c r="CB159" s="4" t="str">
        <f t="shared" si="158"/>
        <v>x</v>
      </c>
      <c r="CC159" s="4" t="str">
        <f>"1960"</f>
        <v>1960</v>
      </c>
      <c r="CD159" s="4" t="str">
        <f>"60,00"</f>
        <v>60,00</v>
      </c>
      <c r="CE159" s="4" t="str">
        <f>"2044-2046"</f>
        <v>2044-2046</v>
      </c>
      <c r="CF159" s="4" t="str">
        <f>"1960"</f>
        <v>1960</v>
      </c>
      <c r="CG159" s="4" t="str">
        <f>"55,00"</f>
        <v>55,00</v>
      </c>
      <c r="CH159" s="4" t="str">
        <f>"2044-2046"</f>
        <v>2044-2046</v>
      </c>
      <c r="CI159" s="4" t="str">
        <f>"56,00"</f>
        <v>56,00</v>
      </c>
      <c r="CJ159" s="4" t="str">
        <f>"2019-2021"</f>
        <v>2019-2021</v>
      </c>
    </row>
    <row r="160" spans="1:88" ht="11.25" customHeight="1">
      <c r="A160" s="45" t="str">
        <f>"24.147"</f>
        <v>24.147</v>
      </c>
      <c r="B160" s="46" t="str">
        <f>"г. Харовск, ул.Ленина, д.3"</f>
        <v>г. Харовск, ул.Ленина, д.3</v>
      </c>
      <c r="C160" s="6" t="str">
        <f>"1954"</f>
        <v>1954</v>
      </c>
      <c r="D160" s="4" t="str">
        <f>"1954"</f>
        <v>1954</v>
      </c>
      <c r="E160" s="4" t="str">
        <f>"65,00"</f>
        <v>65,00</v>
      </c>
      <c r="F160" s="4" t="str">
        <f>"2035-2037"</f>
        <v>2035-2037</v>
      </c>
      <c r="G160" s="4" t="str">
        <f t="shared" si="150"/>
        <v>нет</v>
      </c>
      <c r="H160" s="4" t="str">
        <f>""</f>
        <v/>
      </c>
      <c r="I160" s="4" t="str">
        <f>""</f>
        <v/>
      </c>
      <c r="J160" s="4" t="str">
        <f>""</f>
        <v/>
      </c>
      <c r="K160" s="4" t="str">
        <f t="shared" si="151"/>
        <v>нет</v>
      </c>
      <c r="L160" s="4" t="str">
        <f>""</f>
        <v/>
      </c>
      <c r="M160" s="4" t="str">
        <f>""</f>
        <v/>
      </c>
      <c r="N160" s="4" t="str">
        <f>""</f>
        <v/>
      </c>
      <c r="O160" s="7" t="str">
        <f t="shared" si="174"/>
        <v>х</v>
      </c>
      <c r="P160" s="4" t="str">
        <f t="shared" si="174"/>
        <v>х</v>
      </c>
      <c r="Q160" s="4" t="str">
        <f>"х"</f>
        <v>х</v>
      </c>
      <c r="R160" s="4" t="str">
        <f t="shared" si="175"/>
        <v>х</v>
      </c>
      <c r="S160" s="4" t="str">
        <f t="shared" si="175"/>
        <v>х</v>
      </c>
      <c r="T160" s="4" t="str">
        <f t="shared" si="175"/>
        <v>х</v>
      </c>
      <c r="U160" s="4" t="str">
        <f>"х"</f>
        <v>х</v>
      </c>
      <c r="V160" s="4" t="str">
        <f t="shared" si="176"/>
        <v>х</v>
      </c>
      <c r="W160" s="4" t="str">
        <f t="shared" si="176"/>
        <v>х</v>
      </c>
      <c r="X160" s="4" t="str">
        <f t="shared" si="176"/>
        <v>х</v>
      </c>
      <c r="Y160" s="8" t="str">
        <f t="shared" si="176"/>
        <v>х</v>
      </c>
      <c r="Z160" s="4" t="str">
        <f t="shared" si="172"/>
        <v>х</v>
      </c>
      <c r="AA160" s="4" t="str">
        <f t="shared" si="172"/>
        <v>х</v>
      </c>
      <c r="AB160" s="4" t="str">
        <f t="shared" si="172"/>
        <v>х</v>
      </c>
      <c r="AC160" s="4" t="str">
        <f t="shared" si="172"/>
        <v>х</v>
      </c>
      <c r="AD160" s="4" t="str">
        <f t="shared" si="172"/>
        <v>х</v>
      </c>
      <c r="AE160" s="4" t="str">
        <f t="shared" si="136"/>
        <v>х</v>
      </c>
      <c r="AF160" s="4" t="str">
        <f t="shared" si="173"/>
        <v>х</v>
      </c>
      <c r="AG160" s="4" t="str">
        <f t="shared" si="173"/>
        <v>х</v>
      </c>
      <c r="AH160" s="4" t="str">
        <f t="shared" si="173"/>
        <v>х</v>
      </c>
      <c r="AI160" s="4" t="str">
        <f t="shared" si="173"/>
        <v>х</v>
      </c>
      <c r="AJ160" s="4" t="str">
        <f t="shared" si="173"/>
        <v>х</v>
      </c>
      <c r="AK160" s="7" t="str">
        <f t="shared" ref="AK160:AM161" si="180">"х"</f>
        <v>х</v>
      </c>
      <c r="AL160" s="4" t="str">
        <f t="shared" si="180"/>
        <v>х</v>
      </c>
      <c r="AM160" s="4" t="str">
        <f t="shared" si="180"/>
        <v>х</v>
      </c>
      <c r="AN160" s="4" t="str">
        <f t="shared" si="177"/>
        <v>х</v>
      </c>
      <c r="AO160" s="4" t="str">
        <f t="shared" si="177"/>
        <v>х</v>
      </c>
      <c r="AP160" s="4" t="str">
        <f t="shared" si="177"/>
        <v>х</v>
      </c>
      <c r="AQ160" s="4" t="str">
        <f t="shared" si="177"/>
        <v>х</v>
      </c>
      <c r="AR160" s="4" t="str">
        <f t="shared" si="177"/>
        <v>х</v>
      </c>
      <c r="AS160" s="4" t="str">
        <f t="shared" si="177"/>
        <v>х</v>
      </c>
      <c r="AT160" s="4" t="str">
        <f t="shared" si="177"/>
        <v>х</v>
      </c>
      <c r="AU160" s="4" t="str">
        <f t="shared" si="177"/>
        <v>х</v>
      </c>
      <c r="AV160" s="4" t="str">
        <f t="shared" si="177"/>
        <v>х</v>
      </c>
      <c r="AW160" s="4" t="str">
        <f t="shared" si="177"/>
        <v>х</v>
      </c>
      <c r="AX160" s="4" t="str">
        <f t="shared" si="178"/>
        <v>х</v>
      </c>
      <c r="AY160" s="4" t="str">
        <f t="shared" si="178"/>
        <v>х</v>
      </c>
      <c r="AZ160" s="4" t="str">
        <f t="shared" si="178"/>
        <v>х</v>
      </c>
      <c r="BA160" s="4" t="str">
        <f t="shared" si="178"/>
        <v>х</v>
      </c>
      <c r="BB160" s="4" t="str">
        <f t="shared" si="178"/>
        <v>х</v>
      </c>
      <c r="BC160" s="4" t="str">
        <f t="shared" si="178"/>
        <v>х</v>
      </c>
      <c r="BD160" s="4" t="str">
        <f t="shared" si="178"/>
        <v>х</v>
      </c>
      <c r="BE160" s="4" t="str">
        <f t="shared" si="178"/>
        <v>х</v>
      </c>
      <c r="BF160" s="4" t="str">
        <f t="shared" si="178"/>
        <v>х</v>
      </c>
      <c r="BG160" s="4" t="str">
        <f t="shared" si="178"/>
        <v>х</v>
      </c>
      <c r="BH160" s="4" t="str">
        <f t="shared" si="179"/>
        <v>х</v>
      </c>
      <c r="BI160" s="4" t="str">
        <f t="shared" si="179"/>
        <v>х</v>
      </c>
      <c r="BJ160" s="4" t="str">
        <f t="shared" si="179"/>
        <v>х</v>
      </c>
      <c r="BK160" s="4" t="str">
        <f t="shared" si="179"/>
        <v>х</v>
      </c>
      <c r="BL160" s="4" t="str">
        <f t="shared" si="179"/>
        <v>х</v>
      </c>
      <c r="BM160" s="4" t="str">
        <f t="shared" si="179"/>
        <v>х</v>
      </c>
      <c r="BN160" s="4" t="str">
        <f t="shared" si="179"/>
        <v>х</v>
      </c>
      <c r="BO160" s="4" t="str">
        <f t="shared" si="179"/>
        <v>х</v>
      </c>
      <c r="BP160" s="4" t="str">
        <f t="shared" si="179"/>
        <v>х</v>
      </c>
      <c r="BQ160" s="4" t="str">
        <f t="shared" si="179"/>
        <v>х</v>
      </c>
      <c r="BR160" s="4" t="str">
        <f>"1954"</f>
        <v>1954</v>
      </c>
      <c r="BS160" s="4" t="str">
        <f>"65,00"</f>
        <v>65,00</v>
      </c>
      <c r="BT160" s="4" t="str">
        <f>"2017-2019"</f>
        <v>2017-2019</v>
      </c>
      <c r="BU160" s="4" t="str">
        <f t="shared" si="153"/>
        <v>нет</v>
      </c>
      <c r="BV160" s="4" t="str">
        <f t="shared" si="167"/>
        <v>x</v>
      </c>
      <c r="BW160" s="4" t="str">
        <f t="shared" si="167"/>
        <v>x</v>
      </c>
      <c r="BX160" s="4" t="str">
        <f t="shared" si="167"/>
        <v>x</v>
      </c>
      <c r="BY160" s="4" t="str">
        <f t="shared" si="154"/>
        <v>нет</v>
      </c>
      <c r="BZ160" s="4" t="str">
        <f t="shared" si="158"/>
        <v>x</v>
      </c>
      <c r="CA160" s="4" t="str">
        <f t="shared" si="158"/>
        <v>x</v>
      </c>
      <c r="CB160" s="4" t="str">
        <f t="shared" si="158"/>
        <v>x</v>
      </c>
      <c r="CC160" s="4" t="str">
        <f>"1954"</f>
        <v>1954</v>
      </c>
      <c r="CD160" s="4" t="str">
        <f>"65,00"</f>
        <v>65,00</v>
      </c>
      <c r="CE160" s="4" t="str">
        <f>"2017-2019"</f>
        <v>2017-2019</v>
      </c>
      <c r="CF160" s="4" t="str">
        <f>"1954"</f>
        <v>1954</v>
      </c>
      <c r="CG160" s="4" t="str">
        <f>"70,00"</f>
        <v>70,00</v>
      </c>
      <c r="CH160" s="4" t="str">
        <f>"2035-2037"</f>
        <v>2035-2037</v>
      </c>
      <c r="CI160" s="4" t="str">
        <f>"65,00"</f>
        <v>65,00</v>
      </c>
      <c r="CJ160" s="4" t="str">
        <f>"2017-2019"</f>
        <v>2017-2019</v>
      </c>
    </row>
    <row r="161" spans="1:88" ht="11.25" customHeight="1">
      <c r="A161" s="45" t="str">
        <f>"24.148"</f>
        <v>24.148</v>
      </c>
      <c r="B161" s="46" t="str">
        <f>"г. Харовск, ул.Ленина, д.36"</f>
        <v>г. Харовск, ул.Ленина, д.36</v>
      </c>
      <c r="C161" s="6" t="str">
        <f>"1962"</f>
        <v>1962</v>
      </c>
      <c r="D161" s="4" t="str">
        <f>"1962"</f>
        <v>1962</v>
      </c>
      <c r="E161" s="4" t="str">
        <f>"65,00"</f>
        <v>65,00</v>
      </c>
      <c r="F161" s="4" t="str">
        <f>"2020-2022"</f>
        <v>2020-2022</v>
      </c>
      <c r="G161" s="4" t="str">
        <f t="shared" si="150"/>
        <v>нет</v>
      </c>
      <c r="H161" s="4" t="str">
        <f>""</f>
        <v/>
      </c>
      <c r="I161" s="4" t="str">
        <f>""</f>
        <v/>
      </c>
      <c r="J161" s="4" t="str">
        <f>""</f>
        <v/>
      </c>
      <c r="K161" s="4" t="str">
        <f t="shared" si="151"/>
        <v>нет</v>
      </c>
      <c r="L161" s="4" t="str">
        <f>""</f>
        <v/>
      </c>
      <c r="M161" s="4" t="str">
        <f>""</f>
        <v/>
      </c>
      <c r="N161" s="4" t="str">
        <f>""</f>
        <v/>
      </c>
      <c r="O161" s="7" t="str">
        <f t="shared" si="174"/>
        <v>х</v>
      </c>
      <c r="P161" s="4" t="str">
        <f t="shared" si="174"/>
        <v>х</v>
      </c>
      <c r="Q161" s="4" t="str">
        <f>"х"</f>
        <v>х</v>
      </c>
      <c r="R161" s="4" t="str">
        <f t="shared" si="175"/>
        <v>х</v>
      </c>
      <c r="S161" s="4" t="str">
        <f t="shared" si="175"/>
        <v>х</v>
      </c>
      <c r="T161" s="4" t="str">
        <f t="shared" si="175"/>
        <v>х</v>
      </c>
      <c r="U161" s="4" t="str">
        <f>"х"</f>
        <v>х</v>
      </c>
      <c r="V161" s="4" t="str">
        <f t="shared" si="176"/>
        <v>х</v>
      </c>
      <c r="W161" s="4" t="str">
        <f t="shared" si="176"/>
        <v>х</v>
      </c>
      <c r="X161" s="4" t="str">
        <f t="shared" si="176"/>
        <v>х</v>
      </c>
      <c r="Y161" s="8" t="str">
        <f t="shared" si="176"/>
        <v>х</v>
      </c>
      <c r="Z161" s="4" t="str">
        <f t="shared" si="172"/>
        <v>х</v>
      </c>
      <c r="AA161" s="4" t="str">
        <f t="shared" si="172"/>
        <v>х</v>
      </c>
      <c r="AB161" s="4" t="str">
        <f t="shared" si="172"/>
        <v>х</v>
      </c>
      <c r="AC161" s="4" t="str">
        <f t="shared" si="172"/>
        <v>х</v>
      </c>
      <c r="AD161" s="4" t="str">
        <f t="shared" si="172"/>
        <v>х</v>
      </c>
      <c r="AE161" s="4" t="str">
        <f t="shared" ref="AE161:AE167" si="181">"х"</f>
        <v>х</v>
      </c>
      <c r="AF161" s="4" t="str">
        <f t="shared" si="173"/>
        <v>х</v>
      </c>
      <c r="AG161" s="4" t="str">
        <f t="shared" si="173"/>
        <v>х</v>
      </c>
      <c r="AH161" s="4" t="str">
        <f t="shared" si="173"/>
        <v>х</v>
      </c>
      <c r="AI161" s="4" t="str">
        <f t="shared" si="173"/>
        <v>х</v>
      </c>
      <c r="AJ161" s="4" t="str">
        <f t="shared" si="173"/>
        <v>х</v>
      </c>
      <c r="AK161" s="7" t="str">
        <f t="shared" si="180"/>
        <v>х</v>
      </c>
      <c r="AL161" s="4" t="str">
        <f t="shared" si="180"/>
        <v>х</v>
      </c>
      <c r="AM161" s="4" t="str">
        <f t="shared" si="180"/>
        <v>х</v>
      </c>
      <c r="AN161" s="4" t="str">
        <f t="shared" si="177"/>
        <v>х</v>
      </c>
      <c r="AO161" s="4" t="str">
        <f t="shared" si="177"/>
        <v>х</v>
      </c>
      <c r="AP161" s="4" t="str">
        <f t="shared" si="177"/>
        <v>х</v>
      </c>
      <c r="AQ161" s="4" t="str">
        <f t="shared" si="177"/>
        <v>х</v>
      </c>
      <c r="AR161" s="4" t="str">
        <f t="shared" si="177"/>
        <v>х</v>
      </c>
      <c r="AS161" s="4" t="str">
        <f t="shared" si="177"/>
        <v>х</v>
      </c>
      <c r="AT161" s="4" t="str">
        <f t="shared" si="177"/>
        <v>х</v>
      </c>
      <c r="AU161" s="4" t="str">
        <f t="shared" si="177"/>
        <v>х</v>
      </c>
      <c r="AV161" s="4" t="str">
        <f t="shared" si="177"/>
        <v>х</v>
      </c>
      <c r="AW161" s="4" t="str">
        <f t="shared" si="177"/>
        <v>х</v>
      </c>
      <c r="AX161" s="4" t="str">
        <f t="shared" si="178"/>
        <v>х</v>
      </c>
      <c r="AY161" s="4" t="str">
        <f t="shared" si="178"/>
        <v>х</v>
      </c>
      <c r="AZ161" s="4" t="str">
        <f t="shared" si="178"/>
        <v>х</v>
      </c>
      <c r="BA161" s="4" t="str">
        <f t="shared" si="178"/>
        <v>х</v>
      </c>
      <c r="BB161" s="4" t="str">
        <f t="shared" si="178"/>
        <v>х</v>
      </c>
      <c r="BC161" s="4" t="str">
        <f t="shared" si="178"/>
        <v>х</v>
      </c>
      <c r="BD161" s="4" t="str">
        <f t="shared" si="178"/>
        <v>х</v>
      </c>
      <c r="BE161" s="4" t="str">
        <f t="shared" si="178"/>
        <v>х</v>
      </c>
      <c r="BF161" s="4" t="str">
        <f t="shared" si="178"/>
        <v>х</v>
      </c>
      <c r="BG161" s="4" t="str">
        <f t="shared" si="178"/>
        <v>х</v>
      </c>
      <c r="BH161" s="4" t="str">
        <f t="shared" si="179"/>
        <v>х</v>
      </c>
      <c r="BI161" s="4" t="str">
        <f t="shared" si="179"/>
        <v>х</v>
      </c>
      <c r="BJ161" s="4" t="str">
        <f t="shared" si="179"/>
        <v>х</v>
      </c>
      <c r="BK161" s="4" t="str">
        <f t="shared" si="179"/>
        <v>х</v>
      </c>
      <c r="BL161" s="4" t="str">
        <f t="shared" si="179"/>
        <v>х</v>
      </c>
      <c r="BM161" s="4" t="str">
        <f t="shared" si="179"/>
        <v>х</v>
      </c>
      <c r="BN161" s="4" t="str">
        <f t="shared" si="179"/>
        <v>х</v>
      </c>
      <c r="BO161" s="4" t="str">
        <f t="shared" si="179"/>
        <v>х</v>
      </c>
      <c r="BP161" s="4" t="str">
        <f t="shared" si="179"/>
        <v>х</v>
      </c>
      <c r="BQ161" s="4" t="str">
        <f t="shared" si="179"/>
        <v>х</v>
      </c>
      <c r="BR161" s="4" t="str">
        <f>"1962"</f>
        <v>1962</v>
      </c>
      <c r="BS161" s="4" t="str">
        <f>"65,00"</f>
        <v>65,00</v>
      </c>
      <c r="BT161" s="4" t="str">
        <f>"2020-2022"</f>
        <v>2020-2022</v>
      </c>
      <c r="BU161" s="4" t="str">
        <f t="shared" si="153"/>
        <v>нет</v>
      </c>
      <c r="BV161" s="4" t="str">
        <f t="shared" si="167"/>
        <v>x</v>
      </c>
      <c r="BW161" s="4" t="str">
        <f t="shared" si="167"/>
        <v>x</v>
      </c>
      <c r="BX161" s="4" t="str">
        <f t="shared" si="167"/>
        <v>x</v>
      </c>
      <c r="BY161" s="4" t="str">
        <f t="shared" si="154"/>
        <v>нет</v>
      </c>
      <c r="BZ161" s="4" t="str">
        <f t="shared" si="158"/>
        <v>x</v>
      </c>
      <c r="CA161" s="4" t="str">
        <f t="shared" si="158"/>
        <v>x</v>
      </c>
      <c r="CB161" s="4" t="str">
        <f t="shared" si="158"/>
        <v>x</v>
      </c>
      <c r="CC161" s="4" t="str">
        <f>"1962"</f>
        <v>1962</v>
      </c>
      <c r="CD161" s="4" t="str">
        <f>"65,00"</f>
        <v>65,00</v>
      </c>
      <c r="CE161" s="4" t="str">
        <f>"2020-2022"</f>
        <v>2020-2022</v>
      </c>
      <c r="CF161" s="4" t="str">
        <f>"1962"</f>
        <v>1962</v>
      </c>
      <c r="CG161" s="4" t="str">
        <f>"65,00"</f>
        <v>65,00</v>
      </c>
      <c r="CH161" s="4" t="str">
        <f>"2020-2022"</f>
        <v>2020-2022</v>
      </c>
      <c r="CI161" s="4" t="str">
        <f>"65,00"</f>
        <v>65,00</v>
      </c>
      <c r="CJ161" s="4" t="str">
        <f>"2020-2022"</f>
        <v>2020-2022</v>
      </c>
    </row>
    <row r="162" spans="1:88" ht="11.25" customHeight="1">
      <c r="A162" s="45" t="str">
        <f>"24.149"</f>
        <v>24.149</v>
      </c>
      <c r="B162" s="46" t="str">
        <f>"г. Харовск, ул.Ленинградская, д.14А"</f>
        <v>г. Харовск, ул.Ленинградская, д.14А</v>
      </c>
      <c r="C162" s="6" t="str">
        <f>"2008"</f>
        <v>2008</v>
      </c>
      <c r="D162" s="4" t="str">
        <f>"2008"</f>
        <v>2008</v>
      </c>
      <c r="E162" s="4" t="str">
        <f>"0,00"</f>
        <v>0,00</v>
      </c>
      <c r="F162" s="4" t="str">
        <f>"2039-2041"</f>
        <v>2039-2041</v>
      </c>
      <c r="G162" s="4" t="str">
        <f>"да"</f>
        <v>да</v>
      </c>
      <c r="H162" s="4" t="str">
        <f>"2008"</f>
        <v>2008</v>
      </c>
      <c r="I162" s="4" t="str">
        <f>"62,00"</f>
        <v>62,00</v>
      </c>
      <c r="J162" s="4" t="str">
        <f>"2039-2041"</f>
        <v>2039-2041</v>
      </c>
      <c r="K162" s="4" t="str">
        <f t="shared" si="151"/>
        <v>нет</v>
      </c>
      <c r="L162" s="4" t="str">
        <f>""</f>
        <v/>
      </c>
      <c r="M162" s="4" t="str">
        <f>""</f>
        <v/>
      </c>
      <c r="N162" s="4" t="str">
        <f>""</f>
        <v/>
      </c>
      <c r="O162" s="7" t="str">
        <f>"2008"</f>
        <v>2008</v>
      </c>
      <c r="P162" s="4" t="str">
        <f>"0,00"</f>
        <v>0,00</v>
      </c>
      <c r="Q162" s="4" t="str">
        <f>"2039-2041"</f>
        <v>2039-2041</v>
      </c>
      <c r="R162" s="4" t="str">
        <f>"да"</f>
        <v>да</v>
      </c>
      <c r="S162" s="4" t="str">
        <f>"2008"</f>
        <v>2008</v>
      </c>
      <c r="T162" s="4" t="str">
        <f>"75,00"</f>
        <v>75,00</v>
      </c>
      <c r="U162" s="4" t="str">
        <f>"2039-2041"</f>
        <v>2039-2041</v>
      </c>
      <c r="V162" s="4" t="str">
        <f>"нет"</f>
        <v>нет</v>
      </c>
      <c r="W162" s="4" t="str">
        <f>""</f>
        <v/>
      </c>
      <c r="X162" s="4" t="str">
        <f>""</f>
        <v/>
      </c>
      <c r="Y162" s="8" t="str">
        <f>""</f>
        <v/>
      </c>
      <c r="Z162" s="4" t="str">
        <f t="shared" si="172"/>
        <v>х</v>
      </c>
      <c r="AA162" s="4" t="str">
        <f t="shared" si="172"/>
        <v>х</v>
      </c>
      <c r="AB162" s="4" t="str">
        <f t="shared" si="172"/>
        <v>х</v>
      </c>
      <c r="AC162" s="4" t="str">
        <f t="shared" si="172"/>
        <v>х</v>
      </c>
      <c r="AD162" s="4" t="str">
        <f t="shared" si="172"/>
        <v>х</v>
      </c>
      <c r="AE162" s="4" t="str">
        <f t="shared" si="181"/>
        <v>х</v>
      </c>
      <c r="AF162" s="4" t="str">
        <f t="shared" si="173"/>
        <v>х</v>
      </c>
      <c r="AG162" s="4" t="str">
        <f t="shared" si="173"/>
        <v>х</v>
      </c>
      <c r="AH162" s="4" t="str">
        <f t="shared" si="173"/>
        <v>х</v>
      </c>
      <c r="AI162" s="4" t="str">
        <f t="shared" si="173"/>
        <v>х</v>
      </c>
      <c r="AJ162" s="4" t="str">
        <f t="shared" si="173"/>
        <v>х</v>
      </c>
      <c r="AK162" s="7" t="str">
        <f>"2008"</f>
        <v>2008</v>
      </c>
      <c r="AL162" s="4" t="str">
        <f>"0,00"</f>
        <v>0,00</v>
      </c>
      <c r="AM162" s="4" t="str">
        <f>"2039-2041"</f>
        <v>2039-2041</v>
      </c>
      <c r="AN162" s="4" t="str">
        <f>"да"</f>
        <v>да</v>
      </c>
      <c r="AO162" s="4" t="str">
        <f>"2009"</f>
        <v>2009</v>
      </c>
      <c r="AP162" s="4" t="str">
        <f>"50,00"</f>
        <v>50,00</v>
      </c>
      <c r="AQ162" s="4" t="str">
        <f>"2039-2041"</f>
        <v>2039-2041</v>
      </c>
      <c r="AR162" s="4" t="str">
        <f>"нет"</f>
        <v>нет</v>
      </c>
      <c r="AS162" s="4" t="str">
        <f>""</f>
        <v/>
      </c>
      <c r="AT162" s="4" t="str">
        <f>""</f>
        <v/>
      </c>
      <c r="AU162" s="4" t="str">
        <f>""</f>
        <v/>
      </c>
      <c r="AV162" s="4" t="str">
        <f>"2008"</f>
        <v>2008</v>
      </c>
      <c r="AW162" s="4" t="str">
        <f>"0,00"</f>
        <v>0,00</v>
      </c>
      <c r="AX162" s="4" t="str">
        <f>"2039-2041"</f>
        <v>2039-2041</v>
      </c>
      <c r="AY162" s="4" t="str">
        <f>"да"</f>
        <v>да</v>
      </c>
      <c r="AZ162" s="4" t="str">
        <f>"2008"</f>
        <v>2008</v>
      </c>
      <c r="BA162" s="4" t="str">
        <f>"75,00"</f>
        <v>75,00</v>
      </c>
      <c r="BB162" s="4" t="str">
        <f>"2039-2041"</f>
        <v>2039-2041</v>
      </c>
      <c r="BC162" s="4" t="str">
        <f>"нет"</f>
        <v>нет</v>
      </c>
      <c r="BD162" s="4" t="str">
        <f>""</f>
        <v/>
      </c>
      <c r="BE162" s="4" t="str">
        <f>""</f>
        <v/>
      </c>
      <c r="BF162" s="4" t="str">
        <f>""</f>
        <v/>
      </c>
      <c r="BG162" s="4" t="str">
        <f>"2008"</f>
        <v>2008</v>
      </c>
      <c r="BH162" s="4" t="str">
        <f>"0,00"</f>
        <v>0,00</v>
      </c>
      <c r="BI162" s="4" t="str">
        <f>"2039-2041"</f>
        <v>2039-2041</v>
      </c>
      <c r="BJ162" s="4" t="str">
        <f>"нет"</f>
        <v>нет</v>
      </c>
      <c r="BK162" s="4" t="str">
        <f>""</f>
        <v/>
      </c>
      <c r="BL162" s="4" t="str">
        <f>""</f>
        <v/>
      </c>
      <c r="BM162" s="4" t="str">
        <f>""</f>
        <v/>
      </c>
      <c r="BN162" s="4" t="str">
        <f>"нет"</f>
        <v>нет</v>
      </c>
      <c r="BO162" s="4" t="str">
        <f>""</f>
        <v/>
      </c>
      <c r="BP162" s="4" t="str">
        <f>""</f>
        <v/>
      </c>
      <c r="BQ162" s="4" t="str">
        <f>""</f>
        <v/>
      </c>
      <c r="BR162" s="4" t="str">
        <f>"2008"</f>
        <v>2008</v>
      </c>
      <c r="BS162" s="4" t="str">
        <f>"0,00"</f>
        <v>0,00</v>
      </c>
      <c r="BT162" s="4" t="str">
        <f>"2039-2041"</f>
        <v>2039-2041</v>
      </c>
      <c r="BU162" s="4" t="str">
        <f t="shared" si="153"/>
        <v>нет</v>
      </c>
      <c r="BV162" s="4" t="str">
        <f t="shared" si="167"/>
        <v>x</v>
      </c>
      <c r="BW162" s="4" t="str">
        <f t="shared" si="167"/>
        <v>x</v>
      </c>
      <c r="BX162" s="4" t="str">
        <f t="shared" si="167"/>
        <v>x</v>
      </c>
      <c r="BY162" s="4" t="str">
        <f t="shared" si="154"/>
        <v>нет</v>
      </c>
      <c r="BZ162" s="4" t="str">
        <f t="shared" si="158"/>
        <v>x</v>
      </c>
      <c r="CA162" s="4" t="str">
        <f t="shared" si="158"/>
        <v>x</v>
      </c>
      <c r="CB162" s="4" t="str">
        <f t="shared" si="158"/>
        <v>x</v>
      </c>
      <c r="CC162" s="4" t="str">
        <f>"2008"</f>
        <v>2008</v>
      </c>
      <c r="CD162" s="4" t="str">
        <f>"0,00"</f>
        <v>0,00</v>
      </c>
      <c r="CE162" s="4" t="str">
        <f>"2039-2041"</f>
        <v>2039-2041</v>
      </c>
      <c r="CF162" s="4" t="str">
        <f>"2008"</f>
        <v>2008</v>
      </c>
      <c r="CG162" s="4" t="str">
        <f>"0,00"</f>
        <v>0,00</v>
      </c>
      <c r="CH162" s="4" t="str">
        <f>"2039-2041"</f>
        <v>2039-2041</v>
      </c>
      <c r="CI162" s="4" t="str">
        <f>"0,00"</f>
        <v>0,00</v>
      </c>
      <c r="CJ162" s="4" t="str">
        <f>"2039-2041"</f>
        <v>2039-2041</v>
      </c>
    </row>
    <row r="163" spans="1:88" ht="11.25" customHeight="1">
      <c r="A163" s="45" t="str">
        <f>"24.150"</f>
        <v>24.150</v>
      </c>
      <c r="B163" s="46" t="str">
        <f>"г. Харовск, ул.Ленинградская, д.16"</f>
        <v>г. Харовск, ул.Ленинградская, д.16</v>
      </c>
      <c r="C163" s="6" t="str">
        <f>"1967"</f>
        <v>1967</v>
      </c>
      <c r="D163" s="4" t="str">
        <f>"1967"</f>
        <v>1967</v>
      </c>
      <c r="E163" s="4" t="str">
        <f>"55,00"</f>
        <v>55,00</v>
      </c>
      <c r="F163" s="4" t="str">
        <f>"2023-2025"</f>
        <v>2023-2025</v>
      </c>
      <c r="G163" s="4" t="str">
        <f>"нет"</f>
        <v>нет</v>
      </c>
      <c r="H163" s="4" t="str">
        <f>""</f>
        <v/>
      </c>
      <c r="I163" s="4" t="str">
        <f>""</f>
        <v/>
      </c>
      <c r="J163" s="4" t="str">
        <f>""</f>
        <v/>
      </c>
      <c r="K163" s="4" t="str">
        <f t="shared" si="151"/>
        <v>нет</v>
      </c>
      <c r="L163" s="4" t="str">
        <f>""</f>
        <v/>
      </c>
      <c r="M163" s="4" t="str">
        <f>""</f>
        <v/>
      </c>
      <c r="N163" s="4" t="str">
        <f>""</f>
        <v/>
      </c>
      <c r="O163" s="7" t="str">
        <f t="shared" ref="O163:Y163" si="182">"х"</f>
        <v>х</v>
      </c>
      <c r="P163" s="4" t="str">
        <f t="shared" si="182"/>
        <v>х</v>
      </c>
      <c r="Q163" s="4" t="str">
        <f t="shared" si="182"/>
        <v>х</v>
      </c>
      <c r="R163" s="4" t="str">
        <f t="shared" si="182"/>
        <v>х</v>
      </c>
      <c r="S163" s="4" t="str">
        <f t="shared" si="182"/>
        <v>х</v>
      </c>
      <c r="T163" s="4" t="str">
        <f t="shared" si="182"/>
        <v>х</v>
      </c>
      <c r="U163" s="4" t="str">
        <f t="shared" si="182"/>
        <v>х</v>
      </c>
      <c r="V163" s="4" t="str">
        <f t="shared" si="182"/>
        <v>х</v>
      </c>
      <c r="W163" s="4" t="str">
        <f t="shared" si="182"/>
        <v>х</v>
      </c>
      <c r="X163" s="4" t="str">
        <f t="shared" si="182"/>
        <v>х</v>
      </c>
      <c r="Y163" s="8" t="str">
        <f t="shared" si="182"/>
        <v>х</v>
      </c>
      <c r="Z163" s="4" t="str">
        <f t="shared" si="172"/>
        <v>х</v>
      </c>
      <c r="AA163" s="4" t="str">
        <f t="shared" si="172"/>
        <v>х</v>
      </c>
      <c r="AB163" s="4" t="str">
        <f t="shared" si="172"/>
        <v>х</v>
      </c>
      <c r="AC163" s="4" t="str">
        <f t="shared" si="172"/>
        <v>х</v>
      </c>
      <c r="AD163" s="4" t="str">
        <f t="shared" si="172"/>
        <v>х</v>
      </c>
      <c r="AE163" s="4" t="str">
        <f t="shared" si="181"/>
        <v>х</v>
      </c>
      <c r="AF163" s="4" t="str">
        <f t="shared" si="173"/>
        <v>х</v>
      </c>
      <c r="AG163" s="4" t="str">
        <f t="shared" si="173"/>
        <v>х</v>
      </c>
      <c r="AH163" s="4" t="str">
        <f t="shared" si="173"/>
        <v>х</v>
      </c>
      <c r="AI163" s="4" t="str">
        <f t="shared" si="173"/>
        <v>х</v>
      </c>
      <c r="AJ163" s="4" t="str">
        <f t="shared" si="173"/>
        <v>х</v>
      </c>
      <c r="AK163" s="7" t="str">
        <f t="shared" ref="AK163:BQ163" si="183">"х"</f>
        <v>х</v>
      </c>
      <c r="AL163" s="4" t="str">
        <f t="shared" si="183"/>
        <v>х</v>
      </c>
      <c r="AM163" s="4" t="str">
        <f t="shared" si="183"/>
        <v>х</v>
      </c>
      <c r="AN163" s="4" t="str">
        <f t="shared" si="183"/>
        <v>х</v>
      </c>
      <c r="AO163" s="4" t="str">
        <f t="shared" si="183"/>
        <v>х</v>
      </c>
      <c r="AP163" s="4" t="str">
        <f t="shared" si="183"/>
        <v>х</v>
      </c>
      <c r="AQ163" s="4" t="str">
        <f t="shared" si="183"/>
        <v>х</v>
      </c>
      <c r="AR163" s="4" t="str">
        <f t="shared" si="183"/>
        <v>х</v>
      </c>
      <c r="AS163" s="4" t="str">
        <f t="shared" si="183"/>
        <v>х</v>
      </c>
      <c r="AT163" s="4" t="str">
        <f t="shared" si="183"/>
        <v>х</v>
      </c>
      <c r="AU163" s="4" t="str">
        <f t="shared" si="183"/>
        <v>х</v>
      </c>
      <c r="AV163" s="4" t="str">
        <f t="shared" si="183"/>
        <v>х</v>
      </c>
      <c r="AW163" s="4" t="str">
        <f t="shared" si="183"/>
        <v>х</v>
      </c>
      <c r="AX163" s="4" t="str">
        <f t="shared" si="183"/>
        <v>х</v>
      </c>
      <c r="AY163" s="4" t="str">
        <f t="shared" si="183"/>
        <v>х</v>
      </c>
      <c r="AZ163" s="4" t="str">
        <f t="shared" si="183"/>
        <v>х</v>
      </c>
      <c r="BA163" s="4" t="str">
        <f t="shared" si="183"/>
        <v>х</v>
      </c>
      <c r="BB163" s="4" t="str">
        <f t="shared" si="183"/>
        <v>х</v>
      </c>
      <c r="BC163" s="4" t="str">
        <f t="shared" si="183"/>
        <v>х</v>
      </c>
      <c r="BD163" s="4" t="str">
        <f t="shared" si="183"/>
        <v>х</v>
      </c>
      <c r="BE163" s="4" t="str">
        <f t="shared" si="183"/>
        <v>х</v>
      </c>
      <c r="BF163" s="4" t="str">
        <f t="shared" si="183"/>
        <v>х</v>
      </c>
      <c r="BG163" s="4" t="str">
        <f t="shared" si="183"/>
        <v>х</v>
      </c>
      <c r="BH163" s="4" t="str">
        <f t="shared" si="183"/>
        <v>х</v>
      </c>
      <c r="BI163" s="4" t="str">
        <f t="shared" si="183"/>
        <v>х</v>
      </c>
      <c r="BJ163" s="4" t="str">
        <f t="shared" si="183"/>
        <v>х</v>
      </c>
      <c r="BK163" s="4" t="str">
        <f t="shared" si="183"/>
        <v>х</v>
      </c>
      <c r="BL163" s="4" t="str">
        <f t="shared" si="183"/>
        <v>х</v>
      </c>
      <c r="BM163" s="4" t="str">
        <f t="shared" si="183"/>
        <v>х</v>
      </c>
      <c r="BN163" s="4" t="str">
        <f t="shared" si="183"/>
        <v>х</v>
      </c>
      <c r="BO163" s="4" t="str">
        <f t="shared" si="183"/>
        <v>х</v>
      </c>
      <c r="BP163" s="4" t="str">
        <f t="shared" si="183"/>
        <v>х</v>
      </c>
      <c r="BQ163" s="4" t="str">
        <f t="shared" si="183"/>
        <v>х</v>
      </c>
      <c r="BR163" s="4" t="str">
        <f>"1967"</f>
        <v>1967</v>
      </c>
      <c r="BS163" s="4" t="str">
        <f>"50,00"</f>
        <v>50,00</v>
      </c>
      <c r="BT163" s="4" t="str">
        <f>"2023-2025"</f>
        <v>2023-2025</v>
      </c>
      <c r="BU163" s="4" t="str">
        <f t="shared" si="153"/>
        <v>нет</v>
      </c>
      <c r="BV163" s="4" t="str">
        <f t="shared" si="167"/>
        <v>x</v>
      </c>
      <c r="BW163" s="4" t="str">
        <f t="shared" si="167"/>
        <v>x</v>
      </c>
      <c r="BX163" s="4" t="str">
        <f t="shared" si="167"/>
        <v>x</v>
      </c>
      <c r="BY163" s="4" t="str">
        <f t="shared" si="154"/>
        <v>нет</v>
      </c>
      <c r="BZ163" s="4" t="str">
        <f t="shared" si="158"/>
        <v>x</v>
      </c>
      <c r="CA163" s="4" t="str">
        <f t="shared" si="158"/>
        <v>x</v>
      </c>
      <c r="CB163" s="4" t="str">
        <f t="shared" si="158"/>
        <v>x</v>
      </c>
      <c r="CC163" s="4" t="str">
        <f>"1967"</f>
        <v>1967</v>
      </c>
      <c r="CD163" s="4" t="str">
        <f>"65,00"</f>
        <v>65,00</v>
      </c>
      <c r="CE163" s="4" t="str">
        <f>"2023-2025"</f>
        <v>2023-2025</v>
      </c>
      <c r="CF163" s="4" t="str">
        <f>"1967"</f>
        <v>1967</v>
      </c>
      <c r="CG163" s="4" t="str">
        <f>"60,00"</f>
        <v>60,00</v>
      </c>
      <c r="CH163" s="4" t="str">
        <f>"2023-2025"</f>
        <v>2023-2025</v>
      </c>
      <c r="CI163" s="4" t="str">
        <f>"61,00"</f>
        <v>61,00</v>
      </c>
      <c r="CJ163" s="4" t="str">
        <f>"2023-2025"</f>
        <v>2023-2025</v>
      </c>
    </row>
    <row r="164" spans="1:88" ht="11.25" customHeight="1">
      <c r="A164" s="45" t="str">
        <f>"24.151"</f>
        <v>24.151</v>
      </c>
      <c r="B164" s="46" t="str">
        <f>"г. Харовск, ул.Ленинградская, д.17"</f>
        <v>г. Харовск, ул.Ленинградская, д.17</v>
      </c>
      <c r="C164" s="6" t="str">
        <f>"2011"</f>
        <v>2011</v>
      </c>
      <c r="D164" s="4" t="str">
        <f>"2011"</f>
        <v>2011</v>
      </c>
      <c r="E164" s="4" t="str">
        <f>"0,00"</f>
        <v>0,00</v>
      </c>
      <c r="F164" s="4" t="str">
        <f>"2039-2041"</f>
        <v>2039-2041</v>
      </c>
      <c r="G164" s="4" t="str">
        <f>"да"</f>
        <v>да</v>
      </c>
      <c r="H164" s="4" t="str">
        <f>"2011"</f>
        <v>2011</v>
      </c>
      <c r="I164" s="4" t="str">
        <f>"25,00"</f>
        <v>25,00</v>
      </c>
      <c r="J164" s="4" t="str">
        <f>"2039-2041"</f>
        <v>2039-2041</v>
      </c>
      <c r="K164" s="4" t="str">
        <f t="shared" si="151"/>
        <v>нет</v>
      </c>
      <c r="L164" s="4" t="str">
        <f>""</f>
        <v/>
      </c>
      <c r="M164" s="4" t="str">
        <f>""</f>
        <v/>
      </c>
      <c r="N164" s="4" t="str">
        <f>""</f>
        <v/>
      </c>
      <c r="O164" s="7" t="str">
        <f>"2011"</f>
        <v>2011</v>
      </c>
      <c r="P164" s="4" t="str">
        <f>"0,00"</f>
        <v>0,00</v>
      </c>
      <c r="Q164" s="4" t="str">
        <f>"2016-2018"</f>
        <v>2016-2018</v>
      </c>
      <c r="R164" s="4" t="str">
        <f>"да"</f>
        <v>да</v>
      </c>
      <c r="S164" s="4" t="str">
        <f>"2011"</f>
        <v>2011</v>
      </c>
      <c r="T164" s="4" t="str">
        <f>"50,00"</f>
        <v>50,00</v>
      </c>
      <c r="U164" s="4" t="str">
        <f>"2039-2041"</f>
        <v>2039-2041</v>
      </c>
      <c r="V164" s="4" t="str">
        <f>"нет"</f>
        <v>нет</v>
      </c>
      <c r="W164" s="4" t="str">
        <f>"х"</f>
        <v>х</v>
      </c>
      <c r="X164" s="4" t="str">
        <f>"х"</f>
        <v>х</v>
      </c>
      <c r="Y164" s="8" t="str">
        <f>"х"</f>
        <v>х</v>
      </c>
      <c r="Z164" s="4" t="str">
        <f t="shared" si="172"/>
        <v>х</v>
      </c>
      <c r="AA164" s="4" t="str">
        <f t="shared" si="172"/>
        <v>х</v>
      </c>
      <c r="AB164" s="4" t="str">
        <f t="shared" si="172"/>
        <v>х</v>
      </c>
      <c r="AC164" s="4" t="str">
        <f t="shared" si="172"/>
        <v>х</v>
      </c>
      <c r="AD164" s="4" t="str">
        <f t="shared" si="172"/>
        <v>х</v>
      </c>
      <c r="AE164" s="4" t="str">
        <f t="shared" si="181"/>
        <v>х</v>
      </c>
      <c r="AF164" s="4" t="str">
        <f t="shared" si="173"/>
        <v>х</v>
      </c>
      <c r="AG164" s="4" t="str">
        <f t="shared" si="173"/>
        <v>х</v>
      </c>
      <c r="AH164" s="4" t="str">
        <f t="shared" si="173"/>
        <v>х</v>
      </c>
      <c r="AI164" s="4" t="str">
        <f t="shared" si="173"/>
        <v>х</v>
      </c>
      <c r="AJ164" s="4" t="str">
        <f t="shared" si="173"/>
        <v>х</v>
      </c>
      <c r="AK164" s="7" t="str">
        <f>"2011"</f>
        <v>2011</v>
      </c>
      <c r="AL164" s="4" t="str">
        <f>"0,00"</f>
        <v>0,00</v>
      </c>
      <c r="AM164" s="4" t="str">
        <f>"2039-2041"</f>
        <v>2039-2041</v>
      </c>
      <c r="AN164" s="4" t="str">
        <f>"да"</f>
        <v>да</v>
      </c>
      <c r="AO164" s="4" t="str">
        <f>"2011"</f>
        <v>2011</v>
      </c>
      <c r="AP164" s="4" t="str">
        <f>"33,00"</f>
        <v>33,00</v>
      </c>
      <c r="AQ164" s="4" t="str">
        <f>"2039-2041"</f>
        <v>2039-2041</v>
      </c>
      <c r="AR164" s="4" t="str">
        <f>"нет"</f>
        <v>нет</v>
      </c>
      <c r="AS164" s="4" t="str">
        <f t="shared" ref="AS164:BF164" si="184">"х"</f>
        <v>х</v>
      </c>
      <c r="AT164" s="4" t="str">
        <f t="shared" si="184"/>
        <v>х</v>
      </c>
      <c r="AU164" s="4" t="str">
        <f t="shared" si="184"/>
        <v>х</v>
      </c>
      <c r="AV164" s="4" t="str">
        <f t="shared" si="184"/>
        <v>х</v>
      </c>
      <c r="AW164" s="4" t="str">
        <f t="shared" si="184"/>
        <v>х</v>
      </c>
      <c r="AX164" s="4" t="str">
        <f t="shared" si="184"/>
        <v>х</v>
      </c>
      <c r="AY164" s="4" t="str">
        <f t="shared" si="184"/>
        <v>х</v>
      </c>
      <c r="AZ164" s="4" t="str">
        <f t="shared" si="184"/>
        <v>х</v>
      </c>
      <c r="BA164" s="4" t="str">
        <f t="shared" si="184"/>
        <v>х</v>
      </c>
      <c r="BB164" s="4" t="str">
        <f t="shared" si="184"/>
        <v>х</v>
      </c>
      <c r="BC164" s="4" t="str">
        <f t="shared" si="184"/>
        <v>х</v>
      </c>
      <c r="BD164" s="4" t="str">
        <f t="shared" si="184"/>
        <v>х</v>
      </c>
      <c r="BE164" s="4" t="str">
        <f t="shared" si="184"/>
        <v>х</v>
      </c>
      <c r="BF164" s="4" t="str">
        <f t="shared" si="184"/>
        <v>х</v>
      </c>
      <c r="BG164" s="4" t="str">
        <f>"2011"</f>
        <v>2011</v>
      </c>
      <c r="BH164" s="4" t="str">
        <f>"0,00"</f>
        <v>0,00</v>
      </c>
      <c r="BI164" s="4" t="str">
        <f>"2039-2041"</f>
        <v>2039-2041</v>
      </c>
      <c r="BJ164" s="4" t="str">
        <f>"нет"</f>
        <v>нет</v>
      </c>
      <c r="BK164" s="4" t="str">
        <f>"х"</f>
        <v>х</v>
      </c>
      <c r="BL164" s="4" t="str">
        <f>"х"</f>
        <v>х</v>
      </c>
      <c r="BM164" s="4" t="str">
        <f>"х"</f>
        <v>х</v>
      </c>
      <c r="BN164" s="4" t="str">
        <f>"нет"</f>
        <v>нет</v>
      </c>
      <c r="BO164" s="4" t="str">
        <f>"х"</f>
        <v>х</v>
      </c>
      <c r="BP164" s="4" t="str">
        <f>"х"</f>
        <v>х</v>
      </c>
      <c r="BQ164" s="4" t="str">
        <f>"х"</f>
        <v>х</v>
      </c>
      <c r="BR164" s="4" t="str">
        <f>"2011"</f>
        <v>2011</v>
      </c>
      <c r="BS164" s="4" t="str">
        <f>"0,00"</f>
        <v>0,00</v>
      </c>
      <c r="BT164" s="4" t="str">
        <f>"2016-2018"</f>
        <v>2016-2018</v>
      </c>
      <c r="BU164" s="4" t="str">
        <f t="shared" si="153"/>
        <v>нет</v>
      </c>
      <c r="BV164" s="4" t="str">
        <f t="shared" si="167"/>
        <v>x</v>
      </c>
      <c r="BW164" s="4" t="str">
        <f t="shared" si="167"/>
        <v>x</v>
      </c>
      <c r="BX164" s="4" t="str">
        <f t="shared" si="167"/>
        <v>x</v>
      </c>
      <c r="BY164" s="4" t="str">
        <f t="shared" si="154"/>
        <v>нет</v>
      </c>
      <c r="BZ164" s="4" t="str">
        <f t="shared" si="158"/>
        <v>x</v>
      </c>
      <c r="CA164" s="4" t="str">
        <f t="shared" si="158"/>
        <v>x</v>
      </c>
      <c r="CB164" s="4" t="str">
        <f t="shared" si="158"/>
        <v>x</v>
      </c>
      <c r="CC164" s="4" t="str">
        <f>"2011"</f>
        <v>2011</v>
      </c>
      <c r="CD164" s="4" t="str">
        <f>"0,00"</f>
        <v>0,00</v>
      </c>
      <c r="CE164" s="4" t="str">
        <f>"2039-2041"</f>
        <v>2039-2041</v>
      </c>
      <c r="CF164" s="4" t="str">
        <f>"2011"</f>
        <v>2011</v>
      </c>
      <c r="CG164" s="4" t="str">
        <f>"0,00"</f>
        <v>0,00</v>
      </c>
      <c r="CH164" s="4" t="str">
        <f>"2039-2041"</f>
        <v>2039-2041</v>
      </c>
      <c r="CI164" s="4" t="str">
        <f>"0,00"</f>
        <v>0,00</v>
      </c>
      <c r="CJ164" s="4" t="str">
        <f>"2039-2041"</f>
        <v>2039-2041</v>
      </c>
    </row>
    <row r="165" spans="1:88" ht="11.25" customHeight="1">
      <c r="A165" s="45" t="str">
        <f>"24.152"</f>
        <v>24.152</v>
      </c>
      <c r="B165" s="46" t="str">
        <f>"г. Харовск, ул.Ленинградская, д.19"</f>
        <v>г. Харовск, ул.Ленинградская, д.19</v>
      </c>
      <c r="C165" s="6" t="str">
        <f>"1986"</f>
        <v>1986</v>
      </c>
      <c r="D165" s="4" t="str">
        <f>"1986"</f>
        <v>1986</v>
      </c>
      <c r="E165" s="4" t="str">
        <f>"50,00"</f>
        <v>50,00</v>
      </c>
      <c r="F165" s="4" t="str">
        <f>"2031-2033"</f>
        <v>2031-2033</v>
      </c>
      <c r="G165" s="4" t="str">
        <f>"нет"</f>
        <v>нет</v>
      </c>
      <c r="H165" s="4" t="str">
        <f>""</f>
        <v/>
      </c>
      <c r="I165" s="4" t="str">
        <f>""</f>
        <v/>
      </c>
      <c r="J165" s="4" t="str">
        <f>""</f>
        <v/>
      </c>
      <c r="K165" s="4" t="str">
        <f t="shared" si="151"/>
        <v>нет</v>
      </c>
      <c r="L165" s="4" t="str">
        <f>""</f>
        <v/>
      </c>
      <c r="M165" s="4" t="str">
        <f>""</f>
        <v/>
      </c>
      <c r="N165" s="4" t="str">
        <f>""</f>
        <v/>
      </c>
      <c r="O165" s="7" t="str">
        <f>"1986"</f>
        <v>1986</v>
      </c>
      <c r="P165" s="4" t="str">
        <f>"50,00"</f>
        <v>50,00</v>
      </c>
      <c r="Q165" s="4" t="str">
        <f>"2031-2033"</f>
        <v>2031-2033</v>
      </c>
      <c r="R165" s="4" t="str">
        <f>"да"</f>
        <v>да</v>
      </c>
      <c r="S165" s="4" t="str">
        <f>"2009"</f>
        <v>2009</v>
      </c>
      <c r="T165" s="4" t="str">
        <f>"75,00"</f>
        <v>75,00</v>
      </c>
      <c r="U165" s="4" t="str">
        <f>"2031-2033"</f>
        <v>2031-2033</v>
      </c>
      <c r="V165" s="4" t="str">
        <f>"нет"</f>
        <v>нет</v>
      </c>
      <c r="W165" s="4" t="str">
        <f>""</f>
        <v/>
      </c>
      <c r="X165" s="4" t="str">
        <f>""</f>
        <v/>
      </c>
      <c r="Y165" s="8" t="str">
        <f>""</f>
        <v/>
      </c>
      <c r="Z165" s="4" t="str">
        <f t="shared" si="172"/>
        <v>х</v>
      </c>
      <c r="AA165" s="4" t="str">
        <f t="shared" si="172"/>
        <v>х</v>
      </c>
      <c r="AB165" s="4" t="str">
        <f t="shared" si="172"/>
        <v>х</v>
      </c>
      <c r="AC165" s="4" t="str">
        <f t="shared" si="172"/>
        <v>х</v>
      </c>
      <c r="AD165" s="4" t="str">
        <f t="shared" si="172"/>
        <v>х</v>
      </c>
      <c r="AE165" s="4" t="str">
        <f t="shared" si="181"/>
        <v>х</v>
      </c>
      <c r="AF165" s="4" t="str">
        <f t="shared" si="173"/>
        <v>х</v>
      </c>
      <c r="AG165" s="4" t="str">
        <f t="shared" si="173"/>
        <v>х</v>
      </c>
      <c r="AH165" s="4" t="str">
        <f t="shared" si="173"/>
        <v>х</v>
      </c>
      <c r="AI165" s="4" t="str">
        <f t="shared" si="173"/>
        <v>х</v>
      </c>
      <c r="AJ165" s="4" t="str">
        <f t="shared" si="173"/>
        <v>х</v>
      </c>
      <c r="AK165" s="7" t="str">
        <f>"1986"</f>
        <v>1986</v>
      </c>
      <c r="AL165" s="4" t="str">
        <f>"50,00"</f>
        <v>50,00</v>
      </c>
      <c r="AM165" s="4" t="str">
        <f>"2031-2033"</f>
        <v>2031-2033</v>
      </c>
      <c r="AN165" s="4" t="str">
        <f>"да"</f>
        <v>да</v>
      </c>
      <c r="AO165" s="4" t="str">
        <f>"2013"</f>
        <v>2013</v>
      </c>
      <c r="AP165" s="4" t="str">
        <f>"0,00"</f>
        <v>0,00</v>
      </c>
      <c r="AQ165" s="4" t="str">
        <f>"2031-2033"</f>
        <v>2031-2033</v>
      </c>
      <c r="AR165" s="4" t="str">
        <f>"нет"</f>
        <v>нет</v>
      </c>
      <c r="AS165" s="4" t="str">
        <f>""</f>
        <v/>
      </c>
      <c r="AT165" s="4" t="str">
        <f>""</f>
        <v/>
      </c>
      <c r="AU165" s="4" t="str">
        <f>""</f>
        <v/>
      </c>
      <c r="AV165" s="4" t="str">
        <f>"1986"</f>
        <v>1986</v>
      </c>
      <c r="AW165" s="4" t="str">
        <f>"50,00"</f>
        <v>50,00</v>
      </c>
      <c r="AX165" s="4" t="str">
        <f>"2031-2033"</f>
        <v>2031-2033</v>
      </c>
      <c r="AY165" s="4" t="str">
        <f>"нет"</f>
        <v>нет</v>
      </c>
      <c r="AZ165" s="4" t="str">
        <f>""</f>
        <v/>
      </c>
      <c r="BA165" s="4" t="str">
        <f>""</f>
        <v/>
      </c>
      <c r="BB165" s="4" t="str">
        <f>""</f>
        <v/>
      </c>
      <c r="BC165" s="4" t="str">
        <f>"нет"</f>
        <v>нет</v>
      </c>
      <c r="BD165" s="4" t="str">
        <f>""</f>
        <v/>
      </c>
      <c r="BE165" s="4" t="str">
        <f>""</f>
        <v/>
      </c>
      <c r="BF165" s="4" t="str">
        <f>""</f>
        <v/>
      </c>
      <c r="BG165" s="4" t="str">
        <f>"1986"</f>
        <v>1986</v>
      </c>
      <c r="BH165" s="4" t="str">
        <f>"50,00"</f>
        <v>50,00</v>
      </c>
      <c r="BI165" s="4" t="str">
        <f>"2031-2033"</f>
        <v>2031-2033</v>
      </c>
      <c r="BJ165" s="4" t="str">
        <f>"нет"</f>
        <v>нет</v>
      </c>
      <c r="BK165" s="4" t="str">
        <f>""</f>
        <v/>
      </c>
      <c r="BL165" s="4" t="str">
        <f>""</f>
        <v/>
      </c>
      <c r="BM165" s="4" t="str">
        <f>""</f>
        <v/>
      </c>
      <c r="BN165" s="4" t="str">
        <f>"нет"</f>
        <v>нет</v>
      </c>
      <c r="BO165" s="4" t="str">
        <f>""</f>
        <v/>
      </c>
      <c r="BP165" s="4" t="str">
        <f>""</f>
        <v/>
      </c>
      <c r="BQ165" s="4" t="str">
        <f>""</f>
        <v/>
      </c>
      <c r="BR165" s="4" t="str">
        <f>"1986"</f>
        <v>1986</v>
      </c>
      <c r="BS165" s="4" t="str">
        <f>"35,00"</f>
        <v>35,00</v>
      </c>
      <c r="BT165" s="4" t="str">
        <f>"2031-2033"</f>
        <v>2031-2033</v>
      </c>
      <c r="BU165" s="4" t="str">
        <f t="shared" si="153"/>
        <v>нет</v>
      </c>
      <c r="BV165" s="4" t="str">
        <f t="shared" si="167"/>
        <v>x</v>
      </c>
      <c r="BW165" s="4" t="str">
        <f t="shared" si="167"/>
        <v>x</v>
      </c>
      <c r="BX165" s="4" t="str">
        <f t="shared" si="167"/>
        <v>x</v>
      </c>
      <c r="BY165" s="4" t="str">
        <f t="shared" si="154"/>
        <v>нет</v>
      </c>
      <c r="BZ165" s="4" t="str">
        <f t="shared" si="158"/>
        <v>x</v>
      </c>
      <c r="CA165" s="4" t="str">
        <f t="shared" si="158"/>
        <v>x</v>
      </c>
      <c r="CB165" s="4" t="str">
        <f t="shared" si="158"/>
        <v>x</v>
      </c>
      <c r="CC165" s="4" t="str">
        <f>"1986"</f>
        <v>1986</v>
      </c>
      <c r="CD165" s="4" t="str">
        <f>"25,00"</f>
        <v>25,00</v>
      </c>
      <c r="CE165" s="4" t="str">
        <f>"2031-2033"</f>
        <v>2031-2033</v>
      </c>
      <c r="CF165" s="4" t="str">
        <f>"1986"</f>
        <v>1986</v>
      </c>
      <c r="CG165" s="4" t="str">
        <f>"15,00"</f>
        <v>15,00</v>
      </c>
      <c r="CH165" s="4" t="str">
        <f>"2031-2033"</f>
        <v>2031-2033</v>
      </c>
      <c r="CI165" s="4" t="str">
        <f>"27,00"</f>
        <v>27,00</v>
      </c>
      <c r="CJ165" s="4" t="str">
        <f>"2031-2033"</f>
        <v>2031-2033</v>
      </c>
    </row>
    <row r="166" spans="1:88" ht="11.25" customHeight="1">
      <c r="A166" s="45" t="str">
        <f>"24.153"</f>
        <v>24.153</v>
      </c>
      <c r="B166" s="46" t="str">
        <f>"г. Харовск, ул.Ленинградская, д.24"</f>
        <v>г. Харовск, ул.Ленинградская, д.24</v>
      </c>
      <c r="C166" s="6" t="str">
        <f>"1958"</f>
        <v>1958</v>
      </c>
      <c r="D166" s="4" t="str">
        <f>"1958"</f>
        <v>1958</v>
      </c>
      <c r="E166" s="4" t="str">
        <f>"50,00"</f>
        <v>50,00</v>
      </c>
      <c r="F166" s="4" t="str">
        <f>"2035-2037"</f>
        <v>2035-2037</v>
      </c>
      <c r="G166" s="4" t="str">
        <f>"нет"</f>
        <v>нет</v>
      </c>
      <c r="H166" s="4" t="str">
        <f>""</f>
        <v/>
      </c>
      <c r="I166" s="4" t="str">
        <f>""</f>
        <v/>
      </c>
      <c r="J166" s="4" t="str">
        <f>""</f>
        <v/>
      </c>
      <c r="K166" s="4" t="str">
        <f t="shared" si="151"/>
        <v>нет</v>
      </c>
      <c r="L166" s="4" t="str">
        <f>""</f>
        <v/>
      </c>
      <c r="M166" s="4" t="str">
        <f>""</f>
        <v/>
      </c>
      <c r="N166" s="4" t="str">
        <f>""</f>
        <v/>
      </c>
      <c r="O166" s="7" t="str">
        <f>"х"</f>
        <v>х</v>
      </c>
      <c r="P166" s="4" t="str">
        <f>"х"</f>
        <v>х</v>
      </c>
      <c r="Q166" s="4" t="str">
        <f>"2017-2019"</f>
        <v>2017-2019</v>
      </c>
      <c r="R166" s="4" t="str">
        <f t="shared" ref="R166:Y167" si="185">"х"</f>
        <v>х</v>
      </c>
      <c r="S166" s="4" t="str">
        <f t="shared" si="185"/>
        <v>х</v>
      </c>
      <c r="T166" s="4" t="str">
        <f t="shared" si="185"/>
        <v>х</v>
      </c>
      <c r="U166" s="4" t="str">
        <f t="shared" si="185"/>
        <v>х</v>
      </c>
      <c r="V166" s="4" t="str">
        <f t="shared" si="185"/>
        <v>х</v>
      </c>
      <c r="W166" s="4" t="str">
        <f t="shared" si="185"/>
        <v>х</v>
      </c>
      <c r="X166" s="4" t="str">
        <f t="shared" si="185"/>
        <v>х</v>
      </c>
      <c r="Y166" s="8" t="str">
        <f t="shared" si="185"/>
        <v>х</v>
      </c>
      <c r="Z166" s="4" t="str">
        <f t="shared" si="172"/>
        <v>х</v>
      </c>
      <c r="AA166" s="4" t="str">
        <f t="shared" si="172"/>
        <v>х</v>
      </c>
      <c r="AB166" s="4" t="str">
        <f t="shared" si="172"/>
        <v>х</v>
      </c>
      <c r="AC166" s="4" t="str">
        <f t="shared" si="172"/>
        <v>х</v>
      </c>
      <c r="AD166" s="4" t="str">
        <f t="shared" si="172"/>
        <v>х</v>
      </c>
      <c r="AE166" s="4" t="str">
        <f t="shared" si="181"/>
        <v>х</v>
      </c>
      <c r="AF166" s="4" t="str">
        <f t="shared" si="173"/>
        <v>х</v>
      </c>
      <c r="AG166" s="4" t="str">
        <f t="shared" si="173"/>
        <v>х</v>
      </c>
      <c r="AH166" s="4" t="str">
        <f t="shared" si="173"/>
        <v>х</v>
      </c>
      <c r="AI166" s="4" t="str">
        <f t="shared" si="173"/>
        <v>х</v>
      </c>
      <c r="AJ166" s="4" t="str">
        <f t="shared" si="173"/>
        <v>х</v>
      </c>
      <c r="AK166" s="7" t="str">
        <f t="shared" ref="AK166:AT168" si="186">"х"</f>
        <v>х</v>
      </c>
      <c r="AL166" s="4" t="str">
        <f t="shared" si="186"/>
        <v>х</v>
      </c>
      <c r="AM166" s="4" t="str">
        <f t="shared" si="186"/>
        <v>х</v>
      </c>
      <c r="AN166" s="4" t="str">
        <f t="shared" si="186"/>
        <v>х</v>
      </c>
      <c r="AO166" s="4" t="str">
        <f t="shared" si="186"/>
        <v>х</v>
      </c>
      <c r="AP166" s="4" t="str">
        <f t="shared" si="186"/>
        <v>х</v>
      </c>
      <c r="AQ166" s="4" t="str">
        <f t="shared" si="186"/>
        <v>х</v>
      </c>
      <c r="AR166" s="4" t="str">
        <f t="shared" si="186"/>
        <v>х</v>
      </c>
      <c r="AS166" s="4" t="str">
        <f t="shared" si="186"/>
        <v>х</v>
      </c>
      <c r="AT166" s="4" t="str">
        <f t="shared" si="186"/>
        <v>х</v>
      </c>
      <c r="AU166" s="4" t="str">
        <f t="shared" ref="AU166:BD168" si="187">"х"</f>
        <v>х</v>
      </c>
      <c r="AV166" s="4" t="str">
        <f t="shared" si="187"/>
        <v>х</v>
      </c>
      <c r="AW166" s="4" t="str">
        <f t="shared" si="187"/>
        <v>х</v>
      </c>
      <c r="AX166" s="4" t="str">
        <f t="shared" si="187"/>
        <v>х</v>
      </c>
      <c r="AY166" s="4" t="str">
        <f t="shared" si="187"/>
        <v>х</v>
      </c>
      <c r="AZ166" s="4" t="str">
        <f t="shared" si="187"/>
        <v>х</v>
      </c>
      <c r="BA166" s="4" t="str">
        <f t="shared" si="187"/>
        <v>х</v>
      </c>
      <c r="BB166" s="4" t="str">
        <f t="shared" si="187"/>
        <v>х</v>
      </c>
      <c r="BC166" s="4" t="str">
        <f t="shared" si="187"/>
        <v>х</v>
      </c>
      <c r="BD166" s="4" t="str">
        <f t="shared" si="187"/>
        <v>х</v>
      </c>
      <c r="BE166" s="4" t="str">
        <f t="shared" ref="BE166:BQ168" si="188">"х"</f>
        <v>х</v>
      </c>
      <c r="BF166" s="4" t="str">
        <f t="shared" si="188"/>
        <v>х</v>
      </c>
      <c r="BG166" s="4" t="str">
        <f t="shared" si="188"/>
        <v>х</v>
      </c>
      <c r="BH166" s="4" t="str">
        <f t="shared" si="188"/>
        <v>х</v>
      </c>
      <c r="BI166" s="4" t="str">
        <f t="shared" si="188"/>
        <v>х</v>
      </c>
      <c r="BJ166" s="4" t="str">
        <f t="shared" si="188"/>
        <v>х</v>
      </c>
      <c r="BK166" s="4" t="str">
        <f t="shared" si="188"/>
        <v>х</v>
      </c>
      <c r="BL166" s="4" t="str">
        <f t="shared" si="188"/>
        <v>х</v>
      </c>
      <c r="BM166" s="4" t="str">
        <f t="shared" si="188"/>
        <v>х</v>
      </c>
      <c r="BN166" s="4" t="str">
        <f t="shared" si="188"/>
        <v>х</v>
      </c>
      <c r="BO166" s="4" t="str">
        <f t="shared" si="188"/>
        <v>х</v>
      </c>
      <c r="BP166" s="4" t="str">
        <f t="shared" si="188"/>
        <v>х</v>
      </c>
      <c r="BQ166" s="4" t="str">
        <f t="shared" si="188"/>
        <v>х</v>
      </c>
      <c r="BR166" s="4" t="str">
        <f>"1958"</f>
        <v>1958</v>
      </c>
      <c r="BS166" s="4" t="str">
        <f>"60,00"</f>
        <v>60,00</v>
      </c>
      <c r="BT166" s="4" t="str">
        <f>"2035-2037"</f>
        <v>2035-2037</v>
      </c>
      <c r="BU166" s="4" t="str">
        <f t="shared" si="153"/>
        <v>нет</v>
      </c>
      <c r="BV166" s="4" t="str">
        <f t="shared" si="167"/>
        <v>x</v>
      </c>
      <c r="BW166" s="4" t="str">
        <f t="shared" si="167"/>
        <v>x</v>
      </c>
      <c r="BX166" s="4" t="str">
        <f t="shared" si="167"/>
        <v>x</v>
      </c>
      <c r="BY166" s="4" t="str">
        <f t="shared" si="154"/>
        <v>нет</v>
      </c>
      <c r="BZ166" s="4" t="str">
        <f t="shared" si="158"/>
        <v>x</v>
      </c>
      <c r="CA166" s="4" t="str">
        <f t="shared" si="158"/>
        <v>x</v>
      </c>
      <c r="CB166" s="4" t="str">
        <f t="shared" si="158"/>
        <v>x</v>
      </c>
      <c r="CC166" s="4" t="str">
        <f>"1958"</f>
        <v>1958</v>
      </c>
      <c r="CD166" s="4" t="str">
        <f>"60,00"</f>
        <v>60,00</v>
      </c>
      <c r="CE166" s="4" t="str">
        <f>"2017-2019"</f>
        <v>2017-2019</v>
      </c>
      <c r="CF166" s="4" t="str">
        <f>"1958"</f>
        <v>1958</v>
      </c>
      <c r="CG166" s="4" t="str">
        <f>"60,00"</f>
        <v>60,00</v>
      </c>
      <c r="CH166" s="4" t="str">
        <f>"2017-2019"</f>
        <v>2017-2019</v>
      </c>
      <c r="CI166" s="4" t="str">
        <f>"58,00"</f>
        <v>58,00</v>
      </c>
      <c r="CJ166" s="4" t="str">
        <f>"2017-2019"</f>
        <v>2017-2019</v>
      </c>
    </row>
    <row r="167" spans="1:88" ht="11.25" customHeight="1">
      <c r="A167" s="45" t="str">
        <f>"24.154"</f>
        <v>24.154</v>
      </c>
      <c r="B167" s="46" t="str">
        <f>"г. Харовск, ул.Ленинградская, д.28"</f>
        <v>г. Харовск, ул.Ленинградская, д.28</v>
      </c>
      <c r="C167" s="6" t="str">
        <f>"1940"</f>
        <v>1940</v>
      </c>
      <c r="D167" s="4" t="str">
        <f>"1940"</f>
        <v>1940</v>
      </c>
      <c r="E167" s="4" t="str">
        <f>"55,00"</f>
        <v>55,00</v>
      </c>
      <c r="F167" s="4" t="str">
        <f>"2016-2018"</f>
        <v>2016-2018</v>
      </c>
      <c r="G167" s="4" t="str">
        <f>"нет"</f>
        <v>нет</v>
      </c>
      <c r="H167" s="4" t="str">
        <f>""</f>
        <v/>
      </c>
      <c r="I167" s="4" t="str">
        <f>""</f>
        <v/>
      </c>
      <c r="J167" s="4" t="str">
        <f>""</f>
        <v/>
      </c>
      <c r="K167" s="4" t="str">
        <f t="shared" si="151"/>
        <v>нет</v>
      </c>
      <c r="L167" s="4" t="str">
        <f>""</f>
        <v/>
      </c>
      <c r="M167" s="4" t="str">
        <f>""</f>
        <v/>
      </c>
      <c r="N167" s="4" t="str">
        <f>""</f>
        <v/>
      </c>
      <c r="O167" s="7" t="str">
        <f>"х"</f>
        <v>х</v>
      </c>
      <c r="P167" s="4" t="str">
        <f>"х"</f>
        <v>х</v>
      </c>
      <c r="Q167" s="4" t="str">
        <f>"х"</f>
        <v>х</v>
      </c>
      <c r="R167" s="4" t="str">
        <f t="shared" si="185"/>
        <v>х</v>
      </c>
      <c r="S167" s="4" t="str">
        <f t="shared" si="185"/>
        <v>х</v>
      </c>
      <c r="T167" s="4" t="str">
        <f t="shared" si="185"/>
        <v>х</v>
      </c>
      <c r="U167" s="4" t="str">
        <f t="shared" si="185"/>
        <v>х</v>
      </c>
      <c r="V167" s="4" t="str">
        <f t="shared" si="185"/>
        <v>х</v>
      </c>
      <c r="W167" s="4" t="str">
        <f t="shared" si="185"/>
        <v>х</v>
      </c>
      <c r="X167" s="4" t="str">
        <f t="shared" si="185"/>
        <v>х</v>
      </c>
      <c r="Y167" s="8" t="str">
        <f t="shared" si="185"/>
        <v>х</v>
      </c>
      <c r="Z167" s="4" t="str">
        <f t="shared" si="172"/>
        <v>х</v>
      </c>
      <c r="AA167" s="4" t="str">
        <f t="shared" si="172"/>
        <v>х</v>
      </c>
      <c r="AB167" s="4" t="str">
        <f t="shared" si="172"/>
        <v>х</v>
      </c>
      <c r="AC167" s="4" t="str">
        <f t="shared" si="172"/>
        <v>х</v>
      </c>
      <c r="AD167" s="4" t="str">
        <f t="shared" si="172"/>
        <v>х</v>
      </c>
      <c r="AE167" s="4" t="str">
        <f t="shared" si="181"/>
        <v>х</v>
      </c>
      <c r="AF167" s="4" t="str">
        <f t="shared" si="173"/>
        <v>х</v>
      </c>
      <c r="AG167" s="4" t="str">
        <f t="shared" si="173"/>
        <v>х</v>
      </c>
      <c r="AH167" s="4" t="str">
        <f t="shared" si="173"/>
        <v>х</v>
      </c>
      <c r="AI167" s="4" t="str">
        <f t="shared" si="173"/>
        <v>х</v>
      </c>
      <c r="AJ167" s="4" t="str">
        <f t="shared" si="173"/>
        <v>х</v>
      </c>
      <c r="AK167" s="7" t="str">
        <f t="shared" si="186"/>
        <v>х</v>
      </c>
      <c r="AL167" s="4" t="str">
        <f t="shared" si="186"/>
        <v>х</v>
      </c>
      <c r="AM167" s="4" t="str">
        <f t="shared" si="186"/>
        <v>х</v>
      </c>
      <c r="AN167" s="4" t="str">
        <f t="shared" si="186"/>
        <v>х</v>
      </c>
      <c r="AO167" s="4" t="str">
        <f t="shared" si="186"/>
        <v>х</v>
      </c>
      <c r="AP167" s="4" t="str">
        <f t="shared" si="186"/>
        <v>х</v>
      </c>
      <c r="AQ167" s="4" t="str">
        <f t="shared" si="186"/>
        <v>х</v>
      </c>
      <c r="AR167" s="4" t="str">
        <f t="shared" si="186"/>
        <v>х</v>
      </c>
      <c r="AS167" s="4" t="str">
        <f t="shared" si="186"/>
        <v>х</v>
      </c>
      <c r="AT167" s="4" t="str">
        <f t="shared" si="186"/>
        <v>х</v>
      </c>
      <c r="AU167" s="4" t="str">
        <f t="shared" si="187"/>
        <v>х</v>
      </c>
      <c r="AV167" s="4" t="str">
        <f t="shared" si="187"/>
        <v>х</v>
      </c>
      <c r="AW167" s="4" t="str">
        <f t="shared" si="187"/>
        <v>х</v>
      </c>
      <c r="AX167" s="4" t="str">
        <f t="shared" si="187"/>
        <v>х</v>
      </c>
      <c r="AY167" s="4" t="str">
        <f t="shared" si="187"/>
        <v>х</v>
      </c>
      <c r="AZ167" s="4" t="str">
        <f t="shared" si="187"/>
        <v>х</v>
      </c>
      <c r="BA167" s="4" t="str">
        <f t="shared" si="187"/>
        <v>х</v>
      </c>
      <c r="BB167" s="4" t="str">
        <f t="shared" si="187"/>
        <v>х</v>
      </c>
      <c r="BC167" s="4" t="str">
        <f t="shared" si="187"/>
        <v>х</v>
      </c>
      <c r="BD167" s="4" t="str">
        <f t="shared" si="187"/>
        <v>х</v>
      </c>
      <c r="BE167" s="4" t="str">
        <f t="shared" si="188"/>
        <v>х</v>
      </c>
      <c r="BF167" s="4" t="str">
        <f t="shared" si="188"/>
        <v>х</v>
      </c>
      <c r="BG167" s="4" t="str">
        <f t="shared" si="188"/>
        <v>х</v>
      </c>
      <c r="BH167" s="4" t="str">
        <f t="shared" si="188"/>
        <v>х</v>
      </c>
      <c r="BI167" s="4" t="str">
        <f t="shared" si="188"/>
        <v>х</v>
      </c>
      <c r="BJ167" s="4" t="str">
        <f t="shared" si="188"/>
        <v>х</v>
      </c>
      <c r="BK167" s="4" t="str">
        <f t="shared" si="188"/>
        <v>х</v>
      </c>
      <c r="BL167" s="4" t="str">
        <f t="shared" si="188"/>
        <v>х</v>
      </c>
      <c r="BM167" s="4" t="str">
        <f t="shared" si="188"/>
        <v>х</v>
      </c>
      <c r="BN167" s="4" t="str">
        <f t="shared" si="188"/>
        <v>х</v>
      </c>
      <c r="BO167" s="4" t="str">
        <f t="shared" si="188"/>
        <v>х</v>
      </c>
      <c r="BP167" s="4" t="str">
        <f t="shared" si="188"/>
        <v>х</v>
      </c>
      <c r="BQ167" s="4" t="str">
        <f t="shared" si="188"/>
        <v>х</v>
      </c>
      <c r="BR167" s="4" t="str">
        <f>"1940"</f>
        <v>1940</v>
      </c>
      <c r="BS167" s="4" t="str">
        <f>"60,00"</f>
        <v>60,00</v>
      </c>
      <c r="BT167" s="4" t="str">
        <f>"2016-2018"</f>
        <v>2016-2018</v>
      </c>
      <c r="BU167" s="4" t="str">
        <f t="shared" si="153"/>
        <v>нет</v>
      </c>
      <c r="BV167" s="4" t="str">
        <f t="shared" si="167"/>
        <v>x</v>
      </c>
      <c r="BW167" s="4" t="str">
        <f t="shared" si="167"/>
        <v>x</v>
      </c>
      <c r="BX167" s="4" t="str">
        <f t="shared" si="167"/>
        <v>x</v>
      </c>
      <c r="BY167" s="4" t="str">
        <f t="shared" si="154"/>
        <v>нет</v>
      </c>
      <c r="BZ167" s="4" t="str">
        <f t="shared" si="158"/>
        <v>x</v>
      </c>
      <c r="CA167" s="4" t="str">
        <f t="shared" si="158"/>
        <v>x</v>
      </c>
      <c r="CB167" s="4" t="str">
        <f t="shared" si="158"/>
        <v>x</v>
      </c>
      <c r="CC167" s="4" t="str">
        <f>"1940"</f>
        <v>1940</v>
      </c>
      <c r="CD167" s="4" t="str">
        <f>"70,00"</f>
        <v>70,00</v>
      </c>
      <c r="CE167" s="4" t="str">
        <f>"2016-2018"</f>
        <v>2016-2018</v>
      </c>
      <c r="CF167" s="4" t="str">
        <f>"1940"</f>
        <v>1940</v>
      </c>
      <c r="CG167" s="4" t="str">
        <f>"60,00"</f>
        <v>60,00</v>
      </c>
      <c r="CH167" s="4" t="str">
        <f>"2029-2031"</f>
        <v>2029-2031</v>
      </c>
      <c r="CI167" s="4" t="str">
        <f>"61,00"</f>
        <v>61,00</v>
      </c>
      <c r="CJ167" s="4" t="str">
        <f>"2016-2018"</f>
        <v>2016-2018</v>
      </c>
    </row>
    <row r="168" spans="1:88" ht="11.25" customHeight="1">
      <c r="A168" s="45" t="str">
        <f>"24.155"</f>
        <v>24.155</v>
      </c>
      <c r="B168" s="46" t="str">
        <f>"г. Харовск, ул.Ленинградская, д.33"</f>
        <v>г. Харовск, ул.Ленинградская, д.33</v>
      </c>
      <c r="C168" s="6" t="str">
        <f>"1939"</f>
        <v>1939</v>
      </c>
      <c r="D168" s="4" t="str">
        <f>"1939"</f>
        <v>1939</v>
      </c>
      <c r="E168" s="4" t="str">
        <f>"60,00"</f>
        <v>60,00</v>
      </c>
      <c r="F168" s="4" t="str">
        <f>"2016-2018"</f>
        <v>2016-2018</v>
      </c>
      <c r="G168" s="4" t="str">
        <f>"нет"</f>
        <v>нет</v>
      </c>
      <c r="H168" s="4" t="str">
        <f>""</f>
        <v/>
      </c>
      <c r="I168" s="4" t="str">
        <f>""</f>
        <v/>
      </c>
      <c r="J168" s="4" t="str">
        <f>""</f>
        <v/>
      </c>
      <c r="K168" s="4" t="str">
        <f t="shared" si="151"/>
        <v>нет</v>
      </c>
      <c r="L168" s="4" t="str">
        <f>""</f>
        <v/>
      </c>
      <c r="M168" s="4" t="str">
        <f>""</f>
        <v/>
      </c>
      <c r="N168" s="4" t="str">
        <f>""</f>
        <v/>
      </c>
      <c r="O168" s="7" t="str">
        <f>""</f>
        <v/>
      </c>
      <c r="P168" s="4" t="str">
        <f>""</f>
        <v/>
      </c>
      <c r="Q168" s="4" t="str">
        <f>""</f>
        <v/>
      </c>
      <c r="R168" s="4" t="str">
        <f>""</f>
        <v/>
      </c>
      <c r="S168" s="4" t="str">
        <f>""</f>
        <v/>
      </c>
      <c r="T168" s="4" t="str">
        <f>""</f>
        <v/>
      </c>
      <c r="U168" s="4" t="str">
        <f>""</f>
        <v/>
      </c>
      <c r="V168" s="4" t="str">
        <f>""</f>
        <v/>
      </c>
      <c r="W168" s="4" t="str">
        <f>""</f>
        <v/>
      </c>
      <c r="X168" s="4" t="str">
        <f>""</f>
        <v/>
      </c>
      <c r="Y168" s="8" t="str">
        <f>""</f>
        <v/>
      </c>
      <c r="Z168" s="4" t="str">
        <f>""</f>
        <v/>
      </c>
      <c r="AA168" s="4" t="str">
        <f>""</f>
        <v/>
      </c>
      <c r="AB168" s="4" t="str">
        <f>""</f>
        <v/>
      </c>
      <c r="AC168" s="4" t="str">
        <f>""</f>
        <v/>
      </c>
      <c r="AD168" s="4" t="str">
        <f>""</f>
        <v/>
      </c>
      <c r="AE168" s="4" t="str">
        <f>""</f>
        <v/>
      </c>
      <c r="AF168" s="4" t="str">
        <f>""</f>
        <v/>
      </c>
      <c r="AG168" s="4" t="str">
        <f>""</f>
        <v/>
      </c>
      <c r="AH168" s="4" t="str">
        <f>""</f>
        <v/>
      </c>
      <c r="AI168" s="4" t="str">
        <f>""</f>
        <v/>
      </c>
      <c r="AJ168" s="4" t="str">
        <f>""</f>
        <v/>
      </c>
      <c r="AK168" s="7" t="str">
        <f t="shared" si="186"/>
        <v>х</v>
      </c>
      <c r="AL168" s="4" t="str">
        <f t="shared" si="186"/>
        <v>х</v>
      </c>
      <c r="AM168" s="4" t="str">
        <f t="shared" si="186"/>
        <v>х</v>
      </c>
      <c r="AN168" s="4" t="str">
        <f t="shared" si="186"/>
        <v>х</v>
      </c>
      <c r="AO168" s="4" t="str">
        <f t="shared" si="186"/>
        <v>х</v>
      </c>
      <c r="AP168" s="4" t="str">
        <f t="shared" si="186"/>
        <v>х</v>
      </c>
      <c r="AQ168" s="4" t="str">
        <f t="shared" si="186"/>
        <v>х</v>
      </c>
      <c r="AR168" s="4" t="str">
        <f t="shared" si="186"/>
        <v>х</v>
      </c>
      <c r="AS168" s="4" t="str">
        <f t="shared" si="186"/>
        <v>х</v>
      </c>
      <c r="AT168" s="4" t="str">
        <f t="shared" si="186"/>
        <v>х</v>
      </c>
      <c r="AU168" s="4" t="str">
        <f t="shared" si="187"/>
        <v>х</v>
      </c>
      <c r="AV168" s="4" t="str">
        <f t="shared" si="187"/>
        <v>х</v>
      </c>
      <c r="AW168" s="4" t="str">
        <f t="shared" si="187"/>
        <v>х</v>
      </c>
      <c r="AX168" s="4" t="str">
        <f t="shared" si="187"/>
        <v>х</v>
      </c>
      <c r="AY168" s="4" t="str">
        <f t="shared" si="187"/>
        <v>х</v>
      </c>
      <c r="AZ168" s="4" t="str">
        <f t="shared" si="187"/>
        <v>х</v>
      </c>
      <c r="BA168" s="4" t="str">
        <f t="shared" si="187"/>
        <v>х</v>
      </c>
      <c r="BB168" s="4" t="str">
        <f t="shared" si="187"/>
        <v>х</v>
      </c>
      <c r="BC168" s="4" t="str">
        <f t="shared" si="187"/>
        <v>х</v>
      </c>
      <c r="BD168" s="4" t="str">
        <f t="shared" si="187"/>
        <v>х</v>
      </c>
      <c r="BE168" s="4" t="str">
        <f t="shared" si="188"/>
        <v>х</v>
      </c>
      <c r="BF168" s="4" t="str">
        <f t="shared" si="188"/>
        <v>х</v>
      </c>
      <c r="BG168" s="4" t="str">
        <f t="shared" si="188"/>
        <v>х</v>
      </c>
      <c r="BH168" s="4" t="str">
        <f t="shared" si="188"/>
        <v>х</v>
      </c>
      <c r="BI168" s="4" t="str">
        <f t="shared" si="188"/>
        <v>х</v>
      </c>
      <c r="BJ168" s="4" t="str">
        <f t="shared" si="188"/>
        <v>х</v>
      </c>
      <c r="BK168" s="4" t="str">
        <f t="shared" si="188"/>
        <v>х</v>
      </c>
      <c r="BL168" s="4" t="str">
        <f t="shared" si="188"/>
        <v>х</v>
      </c>
      <c r="BM168" s="4" t="str">
        <f t="shared" si="188"/>
        <v>х</v>
      </c>
      <c r="BN168" s="4" t="str">
        <f t="shared" si="188"/>
        <v>х</v>
      </c>
      <c r="BO168" s="4" t="str">
        <f t="shared" si="188"/>
        <v>х</v>
      </c>
      <c r="BP168" s="4" t="str">
        <f t="shared" si="188"/>
        <v>х</v>
      </c>
      <c r="BQ168" s="4" t="str">
        <f t="shared" si="188"/>
        <v>х</v>
      </c>
      <c r="BR168" s="4" t="str">
        <f>"1939"</f>
        <v>1939</v>
      </c>
      <c r="BS168" s="4" t="str">
        <f>"70,00"</f>
        <v>70,00</v>
      </c>
      <c r="BT168" s="4" t="str">
        <f>"2016-2018"</f>
        <v>2016-2018</v>
      </c>
      <c r="BU168" s="4" t="str">
        <f t="shared" si="153"/>
        <v>нет</v>
      </c>
      <c r="BV168" s="4" t="str">
        <f t="shared" si="167"/>
        <v>x</v>
      </c>
      <c r="BW168" s="4" t="str">
        <f t="shared" si="167"/>
        <v>x</v>
      </c>
      <c r="BX168" s="4" t="str">
        <f t="shared" si="167"/>
        <v>x</v>
      </c>
      <c r="BY168" s="4" t="str">
        <f t="shared" si="154"/>
        <v>нет</v>
      </c>
      <c r="BZ168" s="4" t="str">
        <f t="shared" si="158"/>
        <v>x</v>
      </c>
      <c r="CA168" s="4" t="str">
        <f t="shared" si="158"/>
        <v>x</v>
      </c>
      <c r="CB168" s="4" t="str">
        <f t="shared" si="158"/>
        <v>x</v>
      </c>
      <c r="CC168" s="4" t="str">
        <f>"1939"</f>
        <v>1939</v>
      </c>
      <c r="CD168" s="4" t="str">
        <f>"70,00"</f>
        <v>70,00</v>
      </c>
      <c r="CE168" s="4" t="str">
        <f>"2028-2030"</f>
        <v>2028-2030</v>
      </c>
      <c r="CF168" s="4" t="str">
        <f>"1939"</f>
        <v>1939</v>
      </c>
      <c r="CG168" s="4" t="str">
        <f>"65,00"</f>
        <v>65,00</v>
      </c>
      <c r="CH168" s="4" t="str">
        <f>"2028-2030"</f>
        <v>2028-2030</v>
      </c>
      <c r="CI168" s="4" t="str">
        <f>"65,00"</f>
        <v>65,00</v>
      </c>
      <c r="CJ168" s="4" t="str">
        <f>"2016-2018"</f>
        <v>2016-2018</v>
      </c>
    </row>
    <row r="169" spans="1:88" ht="11.25" customHeight="1">
      <c r="A169" s="45" t="str">
        <f>"24.156"</f>
        <v>24.156</v>
      </c>
      <c r="B169" s="46" t="str">
        <f>"г. Харовск, ул.Ленинградская, д.37"</f>
        <v>г. Харовск, ул.Ленинградская, д.37</v>
      </c>
      <c r="C169" s="6" t="str">
        <f>"2005"</f>
        <v>2005</v>
      </c>
      <c r="D169" s="4" t="str">
        <f>"2005"</f>
        <v>2005</v>
      </c>
      <c r="E169" s="4" t="str">
        <f>"0,00"</f>
        <v>0,00</v>
      </c>
      <c r="F169" s="4" t="str">
        <f>"2039-2041"</f>
        <v>2039-2041</v>
      </c>
      <c r="G169" s="4" t="str">
        <f>"нет"</f>
        <v>нет</v>
      </c>
      <c r="H169" s="4" t="str">
        <f>""</f>
        <v/>
      </c>
      <c r="I169" s="4" t="str">
        <f>""</f>
        <v/>
      </c>
      <c r="J169" s="4" t="str">
        <f>""</f>
        <v/>
      </c>
      <c r="K169" s="4" t="str">
        <f t="shared" si="151"/>
        <v>нет</v>
      </c>
      <c r="L169" s="4" t="str">
        <f>""</f>
        <v/>
      </c>
      <c r="M169" s="4" t="str">
        <f>""</f>
        <v/>
      </c>
      <c r="N169" s="4" t="str">
        <f>""</f>
        <v/>
      </c>
      <c r="O169" s="7" t="str">
        <f>"2005"</f>
        <v>2005</v>
      </c>
      <c r="P169" s="4" t="str">
        <f>"0,00"</f>
        <v>0,00</v>
      </c>
      <c r="Q169" s="4" t="str">
        <f>"2039-2041"</f>
        <v>2039-2041</v>
      </c>
      <c r="R169" s="4" t="str">
        <f>"да"</f>
        <v>да</v>
      </c>
      <c r="S169" s="4" t="str">
        <f>"2005"</f>
        <v>2005</v>
      </c>
      <c r="T169" s="4" t="str">
        <f>"95,00"</f>
        <v>95,00</v>
      </c>
      <c r="U169" s="4" t="str">
        <f>"2039-2041"</f>
        <v>2039-2041</v>
      </c>
      <c r="V169" s="4" t="str">
        <f>"нет"</f>
        <v>нет</v>
      </c>
      <c r="W169" s="4" t="str">
        <f>""</f>
        <v/>
      </c>
      <c r="X169" s="4" t="str">
        <f>""</f>
        <v/>
      </c>
      <c r="Y169" s="8" t="str">
        <f>""</f>
        <v/>
      </c>
      <c r="Z169" s="4" t="str">
        <f t="shared" ref="Z169:AJ174" si="189">"х"</f>
        <v>х</v>
      </c>
      <c r="AA169" s="4" t="str">
        <f t="shared" si="189"/>
        <v>х</v>
      </c>
      <c r="AB169" s="4" t="str">
        <f t="shared" si="189"/>
        <v>х</v>
      </c>
      <c r="AC169" s="4" t="str">
        <f t="shared" si="189"/>
        <v>х</v>
      </c>
      <c r="AD169" s="4" t="str">
        <f t="shared" si="189"/>
        <v>х</v>
      </c>
      <c r="AE169" s="4" t="str">
        <f t="shared" si="189"/>
        <v>х</v>
      </c>
      <c r="AF169" s="4" t="str">
        <f t="shared" si="189"/>
        <v>х</v>
      </c>
      <c r="AG169" s="4" t="str">
        <f t="shared" si="189"/>
        <v>х</v>
      </c>
      <c r="AH169" s="4" t="str">
        <f t="shared" si="189"/>
        <v>х</v>
      </c>
      <c r="AI169" s="4" t="str">
        <f t="shared" si="189"/>
        <v>х</v>
      </c>
      <c r="AJ169" s="4" t="str">
        <f t="shared" si="189"/>
        <v>х</v>
      </c>
      <c r="AK169" s="7" t="str">
        <f>"2005"</f>
        <v>2005</v>
      </c>
      <c r="AL169" s="4" t="str">
        <f>"0,00"</f>
        <v>0,00</v>
      </c>
      <c r="AM169" s="4" t="str">
        <f>"2039-2041"</f>
        <v>2039-2041</v>
      </c>
      <c r="AN169" s="4" t="str">
        <f>"да"</f>
        <v>да</v>
      </c>
      <c r="AO169" s="4" t="str">
        <f>"2013"</f>
        <v>2013</v>
      </c>
      <c r="AP169" s="4" t="str">
        <f>"0,00"</f>
        <v>0,00</v>
      </c>
      <c r="AQ169" s="4" t="str">
        <f>"2039-2041"</f>
        <v>2039-2041</v>
      </c>
      <c r="AR169" s="4" t="str">
        <f>"нет"</f>
        <v>нет</v>
      </c>
      <c r="AS169" s="4" t="str">
        <f>""</f>
        <v/>
      </c>
      <c r="AT169" s="4" t="str">
        <f>""</f>
        <v/>
      </c>
      <c r="AU169" s="4" t="str">
        <f>""</f>
        <v/>
      </c>
      <c r="AV169" s="4" t="str">
        <f t="shared" ref="AV169:BF183" si="190">"х"</f>
        <v>х</v>
      </c>
      <c r="AW169" s="4" t="str">
        <f t="shared" si="190"/>
        <v>х</v>
      </c>
      <c r="AX169" s="4" t="str">
        <f t="shared" si="190"/>
        <v>х</v>
      </c>
      <c r="AY169" s="4" t="str">
        <f t="shared" si="190"/>
        <v>х</v>
      </c>
      <c r="AZ169" s="4" t="str">
        <f t="shared" si="190"/>
        <v>х</v>
      </c>
      <c r="BA169" s="4" t="str">
        <f t="shared" si="190"/>
        <v>х</v>
      </c>
      <c r="BB169" s="4" t="str">
        <f t="shared" si="190"/>
        <v>х</v>
      </c>
      <c r="BC169" s="4" t="str">
        <f t="shared" si="190"/>
        <v>х</v>
      </c>
      <c r="BD169" s="4" t="str">
        <f t="shared" si="190"/>
        <v>х</v>
      </c>
      <c r="BE169" s="4" t="str">
        <f t="shared" si="190"/>
        <v>х</v>
      </c>
      <c r="BF169" s="4" t="str">
        <f t="shared" si="190"/>
        <v>х</v>
      </c>
      <c r="BG169" s="4" t="str">
        <f>"2005"</f>
        <v>2005</v>
      </c>
      <c r="BH169" s="4" t="str">
        <f>"0,00"</f>
        <v>0,00</v>
      </c>
      <c r="BI169" s="4" t="str">
        <f>"2039-2041"</f>
        <v>2039-2041</v>
      </c>
      <c r="BJ169" s="4" t="str">
        <f>"нет"</f>
        <v>нет</v>
      </c>
      <c r="BK169" s="4" t="str">
        <f>""</f>
        <v/>
      </c>
      <c r="BL169" s="4" t="str">
        <f>""</f>
        <v/>
      </c>
      <c r="BM169" s="4" t="str">
        <f>""</f>
        <v/>
      </c>
      <c r="BN169" s="4" t="str">
        <f>"нет"</f>
        <v>нет</v>
      </c>
      <c r="BO169" s="4" t="str">
        <f>""</f>
        <v/>
      </c>
      <c r="BP169" s="4" t="str">
        <f>""</f>
        <v/>
      </c>
      <c r="BQ169" s="4" t="str">
        <f>""</f>
        <v/>
      </c>
      <c r="BR169" s="4" t="str">
        <f>"2005"</f>
        <v>2005</v>
      </c>
      <c r="BS169" s="4" t="str">
        <f>"0,00"</f>
        <v>0,00</v>
      </c>
      <c r="BT169" s="4" t="str">
        <f>"2039-2041"</f>
        <v>2039-2041</v>
      </c>
      <c r="BU169" s="4" t="str">
        <f t="shared" si="153"/>
        <v>нет</v>
      </c>
      <c r="BV169" s="4" t="str">
        <f t="shared" si="167"/>
        <v>x</v>
      </c>
      <c r="BW169" s="4" t="str">
        <f t="shared" si="167"/>
        <v>x</v>
      </c>
      <c r="BX169" s="4" t="str">
        <f t="shared" si="167"/>
        <v>x</v>
      </c>
      <c r="BY169" s="4" t="str">
        <f t="shared" si="154"/>
        <v>нет</v>
      </c>
      <c r="BZ169" s="4" t="str">
        <f t="shared" si="158"/>
        <v>x</v>
      </c>
      <c r="CA169" s="4" t="str">
        <f t="shared" si="158"/>
        <v>x</v>
      </c>
      <c r="CB169" s="4" t="str">
        <f t="shared" si="158"/>
        <v>x</v>
      </c>
      <c r="CC169" s="4" t="str">
        <f>"2005"</f>
        <v>2005</v>
      </c>
      <c r="CD169" s="4" t="str">
        <f>"0,00"</f>
        <v>0,00</v>
      </c>
      <c r="CE169" s="4" t="str">
        <f>"2039-2041"</f>
        <v>2039-2041</v>
      </c>
      <c r="CF169" s="4" t="str">
        <f>"2005"</f>
        <v>2005</v>
      </c>
      <c r="CG169" s="4" t="str">
        <f>"0,00"</f>
        <v>0,00</v>
      </c>
      <c r="CH169" s="4" t="str">
        <f>"2039-2041"</f>
        <v>2039-2041</v>
      </c>
      <c r="CI169" s="4" t="str">
        <f>"0,00"</f>
        <v>0,00</v>
      </c>
      <c r="CJ169" s="4" t="str">
        <f>"2039-2041"</f>
        <v>2039-2041</v>
      </c>
    </row>
    <row r="170" spans="1:88" ht="11.25" customHeight="1">
      <c r="A170" s="45" t="str">
        <f>"24.157"</f>
        <v>24.157</v>
      </c>
      <c r="B170" s="46" t="str">
        <f>"г. Харовск, ул.Ленинградская, д.37А"</f>
        <v>г. Харовск, ул.Ленинградская, д.37А</v>
      </c>
      <c r="C170" s="6" t="str">
        <f>"2010"</f>
        <v>2010</v>
      </c>
      <c r="D170" s="4" t="str">
        <f>"2010"</f>
        <v>2010</v>
      </c>
      <c r="E170" s="4" t="str">
        <f>"0,00"</f>
        <v>0,00</v>
      </c>
      <c r="F170" s="4" t="str">
        <f>"2039-2041"</f>
        <v>2039-2041</v>
      </c>
      <c r="G170" s="4" t="str">
        <f>"да"</f>
        <v>да</v>
      </c>
      <c r="H170" s="4" t="str">
        <f>"2012"</f>
        <v>2012</v>
      </c>
      <c r="I170" s="4" t="str">
        <f>"12,50"</f>
        <v>12,50</v>
      </c>
      <c r="J170" s="4" t="str">
        <f>"2020-2022"</f>
        <v>2020-2022</v>
      </c>
      <c r="K170" s="4" t="str">
        <f t="shared" si="151"/>
        <v>нет</v>
      </c>
      <c r="L170" s="4" t="str">
        <f>""</f>
        <v/>
      </c>
      <c r="M170" s="4" t="str">
        <f>""</f>
        <v/>
      </c>
      <c r="N170" s="4" t="str">
        <f>""</f>
        <v/>
      </c>
      <c r="O170" s="7" t="str">
        <f>"2010"</f>
        <v>2010</v>
      </c>
      <c r="P170" s="4" t="str">
        <f>"0,00"</f>
        <v>0,00</v>
      </c>
      <c r="Q170" s="4" t="str">
        <f>"2039-2041"</f>
        <v>2039-2041</v>
      </c>
      <c r="R170" s="4" t="str">
        <f>"да"</f>
        <v>да</v>
      </c>
      <c r="S170" s="4" t="str">
        <f>"2011"</f>
        <v>2011</v>
      </c>
      <c r="T170" s="4" t="str">
        <f>"50,00"</f>
        <v>50,00</v>
      </c>
      <c r="U170" s="4" t="str">
        <f>"2039-2041"</f>
        <v>2039-2041</v>
      </c>
      <c r="V170" s="4" t="str">
        <f>"нет"</f>
        <v>нет</v>
      </c>
      <c r="W170" s="4" t="str">
        <f>""</f>
        <v/>
      </c>
      <c r="X170" s="4" t="str">
        <f>""</f>
        <v/>
      </c>
      <c r="Y170" s="8" t="str">
        <f>""</f>
        <v/>
      </c>
      <c r="Z170" s="4" t="str">
        <f t="shared" si="189"/>
        <v>х</v>
      </c>
      <c r="AA170" s="4" t="str">
        <f t="shared" si="189"/>
        <v>х</v>
      </c>
      <c r="AB170" s="4" t="str">
        <f t="shared" si="189"/>
        <v>х</v>
      </c>
      <c r="AC170" s="4" t="str">
        <f t="shared" si="189"/>
        <v>х</v>
      </c>
      <c r="AD170" s="4" t="str">
        <f t="shared" si="189"/>
        <v>х</v>
      </c>
      <c r="AE170" s="4" t="str">
        <f t="shared" si="189"/>
        <v>х</v>
      </c>
      <c r="AF170" s="4" t="str">
        <f t="shared" si="189"/>
        <v>х</v>
      </c>
      <c r="AG170" s="4" t="str">
        <f t="shared" si="189"/>
        <v>х</v>
      </c>
      <c r="AH170" s="4" t="str">
        <f t="shared" si="189"/>
        <v>х</v>
      </c>
      <c r="AI170" s="4" t="str">
        <f t="shared" si="189"/>
        <v>х</v>
      </c>
      <c r="AJ170" s="4" t="str">
        <f t="shared" si="189"/>
        <v>х</v>
      </c>
      <c r="AK170" s="7" t="str">
        <f>"2010"</f>
        <v>2010</v>
      </c>
      <c r="AL170" s="4" t="str">
        <f>"0,00"</f>
        <v>0,00</v>
      </c>
      <c r="AM170" s="4" t="str">
        <f>"2039-2041"</f>
        <v>2039-2041</v>
      </c>
      <c r="AN170" s="4" t="str">
        <f>"да"</f>
        <v>да</v>
      </c>
      <c r="AO170" s="4" t="str">
        <f>"2013"</f>
        <v>2013</v>
      </c>
      <c r="AP170" s="4" t="str">
        <f>"0,00"</f>
        <v>0,00</v>
      </c>
      <c r="AQ170" s="4" t="str">
        <f>"2039-2041"</f>
        <v>2039-2041</v>
      </c>
      <c r="AR170" s="4" t="str">
        <f>"нет"</f>
        <v>нет</v>
      </c>
      <c r="AS170" s="4" t="str">
        <f>""</f>
        <v/>
      </c>
      <c r="AT170" s="4" t="str">
        <f>""</f>
        <v/>
      </c>
      <c r="AU170" s="4" t="str">
        <f>""</f>
        <v/>
      </c>
      <c r="AV170" s="4" t="str">
        <f t="shared" si="190"/>
        <v>х</v>
      </c>
      <c r="AW170" s="4" t="str">
        <f t="shared" si="190"/>
        <v>х</v>
      </c>
      <c r="AX170" s="4" t="str">
        <f t="shared" si="190"/>
        <v>х</v>
      </c>
      <c r="AY170" s="4" t="str">
        <f t="shared" si="190"/>
        <v>х</v>
      </c>
      <c r="AZ170" s="4" t="str">
        <f t="shared" si="190"/>
        <v>х</v>
      </c>
      <c r="BA170" s="4" t="str">
        <f t="shared" si="190"/>
        <v>х</v>
      </c>
      <c r="BB170" s="4" t="str">
        <f t="shared" si="190"/>
        <v>х</v>
      </c>
      <c r="BC170" s="4" t="str">
        <f t="shared" si="190"/>
        <v>х</v>
      </c>
      <c r="BD170" s="4" t="str">
        <f t="shared" si="190"/>
        <v>х</v>
      </c>
      <c r="BE170" s="4" t="str">
        <f t="shared" si="190"/>
        <v>х</v>
      </c>
      <c r="BF170" s="4" t="str">
        <f t="shared" si="190"/>
        <v>х</v>
      </c>
      <c r="BG170" s="4" t="str">
        <f>"2010"</f>
        <v>2010</v>
      </c>
      <c r="BH170" s="4" t="str">
        <f>"0,00"</f>
        <v>0,00</v>
      </c>
      <c r="BI170" s="4" t="str">
        <f>"2039-2041"</f>
        <v>2039-2041</v>
      </c>
      <c r="BJ170" s="4" t="str">
        <f>"нет"</f>
        <v>нет</v>
      </c>
      <c r="BK170" s="4" t="str">
        <f>""</f>
        <v/>
      </c>
      <c r="BL170" s="4" t="str">
        <f>""</f>
        <v/>
      </c>
      <c r="BM170" s="4" t="str">
        <f>""</f>
        <v/>
      </c>
      <c r="BN170" s="4" t="str">
        <f>"нет"</f>
        <v>нет</v>
      </c>
      <c r="BO170" s="4" t="str">
        <f>""</f>
        <v/>
      </c>
      <c r="BP170" s="4" t="str">
        <f>""</f>
        <v/>
      </c>
      <c r="BQ170" s="4" t="str">
        <f>""</f>
        <v/>
      </c>
      <c r="BR170" s="4" t="str">
        <f>"2010"</f>
        <v>2010</v>
      </c>
      <c r="BS170" s="4" t="str">
        <f>"0,00"</f>
        <v>0,00</v>
      </c>
      <c r="BT170" s="4" t="str">
        <f>"2039-2041"</f>
        <v>2039-2041</v>
      </c>
      <c r="BU170" s="4" t="str">
        <f t="shared" si="153"/>
        <v>нет</v>
      </c>
      <c r="BV170" s="4" t="str">
        <f t="shared" si="167"/>
        <v>x</v>
      </c>
      <c r="BW170" s="4" t="str">
        <f t="shared" si="167"/>
        <v>x</v>
      </c>
      <c r="BX170" s="4" t="str">
        <f t="shared" si="167"/>
        <v>x</v>
      </c>
      <c r="BY170" s="4" t="str">
        <f>"да"</f>
        <v>да</v>
      </c>
      <c r="BZ170" s="4" t="str">
        <f>"2010"</f>
        <v>2010</v>
      </c>
      <c r="CA170" s="4" t="str">
        <f>"0,00"</f>
        <v>0,00</v>
      </c>
      <c r="CB170" s="4" t="str">
        <f>"2045-2047"</f>
        <v>2045-2047</v>
      </c>
      <c r="CC170" s="4" t="str">
        <f>"2010"</f>
        <v>2010</v>
      </c>
      <c r="CD170" s="4" t="str">
        <f>"0,00"</f>
        <v>0,00</v>
      </c>
      <c r="CE170" s="4" t="str">
        <f>"2039-2041"</f>
        <v>2039-2041</v>
      </c>
      <c r="CF170" s="4" t="str">
        <f>"2010"</f>
        <v>2010</v>
      </c>
      <c r="CG170" s="4" t="str">
        <f>"0,00"</f>
        <v>0,00</v>
      </c>
      <c r="CH170" s="4" t="str">
        <f>"2039-2041"</f>
        <v>2039-2041</v>
      </c>
      <c r="CI170" s="4" t="str">
        <f>"0,00"</f>
        <v>0,00</v>
      </c>
      <c r="CJ170" s="4" t="str">
        <f>"2039-2041"</f>
        <v>2039-2041</v>
      </c>
    </row>
    <row r="171" spans="1:88" ht="11.25" customHeight="1">
      <c r="A171" s="45" t="str">
        <f>"24.158"</f>
        <v>24.158</v>
      </c>
      <c r="B171" s="46" t="str">
        <f>"г. Харовск, ул.Ленинградская, д.45"</f>
        <v>г. Харовск, ул.Ленинградская, д.45</v>
      </c>
      <c r="C171" s="6" t="str">
        <f>"1991"</f>
        <v>1991</v>
      </c>
      <c r="D171" s="4" t="str">
        <f>"1991"</f>
        <v>1991</v>
      </c>
      <c r="E171" s="4" t="str">
        <f>"25,00"</f>
        <v>25,00</v>
      </c>
      <c r="F171" s="4" t="str">
        <f>"2034-2036"</f>
        <v>2034-2036</v>
      </c>
      <c r="G171" s="4" t="str">
        <f t="shared" ref="G171:G190" si="191">"нет"</f>
        <v>нет</v>
      </c>
      <c r="H171" s="4" t="str">
        <f>""</f>
        <v/>
      </c>
      <c r="I171" s="4" t="str">
        <f>""</f>
        <v/>
      </c>
      <c r="J171" s="4" t="str">
        <f>""</f>
        <v/>
      </c>
      <c r="K171" s="4" t="str">
        <f t="shared" si="151"/>
        <v>нет</v>
      </c>
      <c r="L171" s="4" t="str">
        <f>""</f>
        <v/>
      </c>
      <c r="M171" s="4" t="str">
        <f>""</f>
        <v/>
      </c>
      <c r="N171" s="4" t="str">
        <f>""</f>
        <v/>
      </c>
      <c r="O171" s="7" t="str">
        <f>"1991"</f>
        <v>1991</v>
      </c>
      <c r="P171" s="4" t="str">
        <f>"15,00"</f>
        <v>15,00</v>
      </c>
      <c r="Q171" s="4" t="str">
        <f>"2034-2036"</f>
        <v>2034-2036</v>
      </c>
      <c r="R171" s="4" t="str">
        <f>"да"</f>
        <v>да</v>
      </c>
      <c r="S171" s="4" t="str">
        <f>"2010"</f>
        <v>2010</v>
      </c>
      <c r="T171" s="4" t="str">
        <f>"60,00"</f>
        <v>60,00</v>
      </c>
      <c r="U171" s="4" t="str">
        <f>"2034-2036"</f>
        <v>2034-2036</v>
      </c>
      <c r="V171" s="4" t="str">
        <f>"нет"</f>
        <v>нет</v>
      </c>
      <c r="W171" s="4" t="str">
        <f>""</f>
        <v/>
      </c>
      <c r="X171" s="4" t="str">
        <f>""</f>
        <v/>
      </c>
      <c r="Y171" s="8" t="str">
        <f>""</f>
        <v/>
      </c>
      <c r="Z171" s="4" t="str">
        <f t="shared" si="189"/>
        <v>х</v>
      </c>
      <c r="AA171" s="4" t="str">
        <f t="shared" si="189"/>
        <v>х</v>
      </c>
      <c r="AB171" s="4" t="str">
        <f t="shared" si="189"/>
        <v>х</v>
      </c>
      <c r="AC171" s="4" t="str">
        <f t="shared" si="189"/>
        <v>х</v>
      </c>
      <c r="AD171" s="4" t="str">
        <f t="shared" si="189"/>
        <v>х</v>
      </c>
      <c r="AE171" s="4" t="str">
        <f t="shared" si="189"/>
        <v>х</v>
      </c>
      <c r="AF171" s="4" t="str">
        <f t="shared" si="189"/>
        <v>х</v>
      </c>
      <c r="AG171" s="4" t="str">
        <f t="shared" si="189"/>
        <v>х</v>
      </c>
      <c r="AH171" s="4" t="str">
        <f t="shared" si="189"/>
        <v>х</v>
      </c>
      <c r="AI171" s="4" t="str">
        <f t="shared" si="189"/>
        <v>х</v>
      </c>
      <c r="AJ171" s="4" t="str">
        <f t="shared" si="189"/>
        <v>х</v>
      </c>
      <c r="AK171" s="7" t="str">
        <f>"1991"</f>
        <v>1991</v>
      </c>
      <c r="AL171" s="4" t="str">
        <f>"15,00"</f>
        <v>15,00</v>
      </c>
      <c r="AM171" s="4" t="str">
        <f>"2034-2036"</f>
        <v>2034-2036</v>
      </c>
      <c r="AN171" s="4" t="str">
        <f>"да"</f>
        <v>да</v>
      </c>
      <c r="AO171" s="4" t="str">
        <f>"2013"</f>
        <v>2013</v>
      </c>
      <c r="AP171" s="4" t="str">
        <f>"0,00"</f>
        <v>0,00</v>
      </c>
      <c r="AQ171" s="4" t="str">
        <f>"2034-2036"</f>
        <v>2034-2036</v>
      </c>
      <c r="AR171" s="4" t="str">
        <f>"нет"</f>
        <v>нет</v>
      </c>
      <c r="AS171" s="4" t="str">
        <f>""</f>
        <v/>
      </c>
      <c r="AT171" s="4" t="str">
        <f>""</f>
        <v/>
      </c>
      <c r="AU171" s="4" t="str">
        <f>""</f>
        <v/>
      </c>
      <c r="AV171" s="4" t="str">
        <f t="shared" si="190"/>
        <v>х</v>
      </c>
      <c r="AW171" s="4" t="str">
        <f t="shared" si="190"/>
        <v>х</v>
      </c>
      <c r="AX171" s="4" t="str">
        <f t="shared" si="190"/>
        <v>х</v>
      </c>
      <c r="AY171" s="4" t="str">
        <f t="shared" si="190"/>
        <v>х</v>
      </c>
      <c r="AZ171" s="4" t="str">
        <f t="shared" si="190"/>
        <v>х</v>
      </c>
      <c r="BA171" s="4" t="str">
        <f t="shared" si="190"/>
        <v>х</v>
      </c>
      <c r="BB171" s="4" t="str">
        <f t="shared" si="190"/>
        <v>х</v>
      </c>
      <c r="BC171" s="4" t="str">
        <f t="shared" si="190"/>
        <v>х</v>
      </c>
      <c r="BD171" s="4" t="str">
        <f t="shared" si="190"/>
        <v>х</v>
      </c>
      <c r="BE171" s="4" t="str">
        <f t="shared" si="190"/>
        <v>х</v>
      </c>
      <c r="BF171" s="4" t="str">
        <f t="shared" si="190"/>
        <v>х</v>
      </c>
      <c r="BG171" s="4" t="str">
        <f>"1991"</f>
        <v>1991</v>
      </c>
      <c r="BH171" s="4" t="str">
        <f>"15,00"</f>
        <v>15,00</v>
      </c>
      <c r="BI171" s="4" t="str">
        <f>"2034-2036"</f>
        <v>2034-2036</v>
      </c>
      <c r="BJ171" s="4" t="str">
        <f>"нет"</f>
        <v>нет</v>
      </c>
      <c r="BK171" s="4" t="str">
        <f>""</f>
        <v/>
      </c>
      <c r="BL171" s="4" t="str">
        <f>""</f>
        <v/>
      </c>
      <c r="BM171" s="4" t="str">
        <f>""</f>
        <v/>
      </c>
      <c r="BN171" s="4" t="str">
        <f>"нет"</f>
        <v>нет</v>
      </c>
      <c r="BO171" s="4" t="str">
        <f>""</f>
        <v/>
      </c>
      <c r="BP171" s="4" t="str">
        <f>""</f>
        <v/>
      </c>
      <c r="BQ171" s="4" t="str">
        <f>""</f>
        <v/>
      </c>
      <c r="BR171" s="4" t="str">
        <f>"1991"</f>
        <v>1991</v>
      </c>
      <c r="BS171" s="4" t="str">
        <f>"20,00"</f>
        <v>20,00</v>
      </c>
      <c r="BT171" s="4" t="str">
        <f>"2034-2036"</f>
        <v>2034-2036</v>
      </c>
      <c r="BU171" s="4" t="str">
        <f t="shared" si="153"/>
        <v>нет</v>
      </c>
      <c r="BV171" s="4" t="str">
        <f t="shared" si="167"/>
        <v>x</v>
      </c>
      <c r="BW171" s="4" t="str">
        <f t="shared" si="167"/>
        <v>x</v>
      </c>
      <c r="BX171" s="4" t="str">
        <f t="shared" si="167"/>
        <v>x</v>
      </c>
      <c r="BY171" s="4" t="str">
        <f t="shared" ref="BY171:BY202" si="192">"нет"</f>
        <v>нет</v>
      </c>
      <c r="BZ171" s="4" t="str">
        <f t="shared" ref="BZ171:CB198" si="193">"x"</f>
        <v>x</v>
      </c>
      <c r="CA171" s="4" t="str">
        <f t="shared" si="193"/>
        <v>x</v>
      </c>
      <c r="CB171" s="4" t="str">
        <f t="shared" si="193"/>
        <v>x</v>
      </c>
      <c r="CC171" s="4" t="str">
        <f>"1991"</f>
        <v>1991</v>
      </c>
      <c r="CD171" s="4" t="str">
        <f>"20,00"</f>
        <v>20,00</v>
      </c>
      <c r="CE171" s="4" t="str">
        <f>"2034-2036"</f>
        <v>2034-2036</v>
      </c>
      <c r="CF171" s="4" t="str">
        <f>"1991"</f>
        <v>1991</v>
      </c>
      <c r="CG171" s="4" t="str">
        <f>"10,00"</f>
        <v>10,00</v>
      </c>
      <c r="CH171" s="4" t="str">
        <f>"2034-2036"</f>
        <v>2034-2036</v>
      </c>
      <c r="CI171" s="4" t="str">
        <f>"21,00"</f>
        <v>21,00</v>
      </c>
      <c r="CJ171" s="4" t="str">
        <f>"2034-2036"</f>
        <v>2034-2036</v>
      </c>
    </row>
    <row r="172" spans="1:88" ht="11.25" customHeight="1">
      <c r="A172" s="45" t="str">
        <f>"24.159"</f>
        <v>24.159</v>
      </c>
      <c r="B172" s="46" t="str">
        <f>"г. Харовск, ул.Луговая, д.25"</f>
        <v>г. Харовск, ул.Луговая, д.25</v>
      </c>
      <c r="C172" s="6" t="str">
        <f>"1970"</f>
        <v>1970</v>
      </c>
      <c r="D172" s="4" t="str">
        <f>"1970"</f>
        <v>1970</v>
      </c>
      <c r="E172" s="4" t="str">
        <f>"45,00"</f>
        <v>45,00</v>
      </c>
      <c r="F172" s="4" t="str">
        <f>"2024-2026"</f>
        <v>2024-2026</v>
      </c>
      <c r="G172" s="4" t="str">
        <f t="shared" si="191"/>
        <v>нет</v>
      </c>
      <c r="H172" s="4" t="str">
        <f>""</f>
        <v/>
      </c>
      <c r="I172" s="4" t="str">
        <f>""</f>
        <v/>
      </c>
      <c r="J172" s="4" t="str">
        <f>""</f>
        <v/>
      </c>
      <c r="K172" s="4" t="str">
        <f t="shared" si="151"/>
        <v>нет</v>
      </c>
      <c r="L172" s="4" t="str">
        <f>""</f>
        <v/>
      </c>
      <c r="M172" s="4" t="str">
        <f>""</f>
        <v/>
      </c>
      <c r="N172" s="4" t="str">
        <f>""</f>
        <v/>
      </c>
      <c r="O172" s="7" t="str">
        <f t="shared" ref="O172:Y174" si="194">"х"</f>
        <v>х</v>
      </c>
      <c r="P172" s="4" t="str">
        <f t="shared" si="194"/>
        <v>х</v>
      </c>
      <c r="Q172" s="4" t="str">
        <f t="shared" si="194"/>
        <v>х</v>
      </c>
      <c r="R172" s="4" t="str">
        <f t="shared" si="194"/>
        <v>х</v>
      </c>
      <c r="S172" s="4" t="str">
        <f t="shared" si="194"/>
        <v>х</v>
      </c>
      <c r="T172" s="4" t="str">
        <f t="shared" si="194"/>
        <v>х</v>
      </c>
      <c r="U172" s="4" t="str">
        <f t="shared" si="194"/>
        <v>х</v>
      </c>
      <c r="V172" s="4" t="str">
        <f t="shared" si="194"/>
        <v>х</v>
      </c>
      <c r="W172" s="4" t="str">
        <f t="shared" si="194"/>
        <v>х</v>
      </c>
      <c r="X172" s="4" t="str">
        <f t="shared" si="194"/>
        <v>х</v>
      </c>
      <c r="Y172" s="8" t="str">
        <f t="shared" si="194"/>
        <v>х</v>
      </c>
      <c r="Z172" s="4" t="str">
        <f t="shared" si="189"/>
        <v>х</v>
      </c>
      <c r="AA172" s="4" t="str">
        <f t="shared" si="189"/>
        <v>х</v>
      </c>
      <c r="AB172" s="4" t="str">
        <f t="shared" si="189"/>
        <v>х</v>
      </c>
      <c r="AC172" s="4" t="str">
        <f t="shared" si="189"/>
        <v>х</v>
      </c>
      <c r="AD172" s="4" t="str">
        <f t="shared" si="189"/>
        <v>х</v>
      </c>
      <c r="AE172" s="4" t="str">
        <f t="shared" si="189"/>
        <v>х</v>
      </c>
      <c r="AF172" s="4" t="str">
        <f t="shared" si="189"/>
        <v>х</v>
      </c>
      <c r="AG172" s="4" t="str">
        <f t="shared" si="189"/>
        <v>х</v>
      </c>
      <c r="AH172" s="4" t="str">
        <f t="shared" si="189"/>
        <v>х</v>
      </c>
      <c r="AI172" s="4" t="str">
        <f t="shared" si="189"/>
        <v>х</v>
      </c>
      <c r="AJ172" s="4" t="str">
        <f t="shared" si="189"/>
        <v>х</v>
      </c>
      <c r="AK172" s="7" t="str">
        <f t="shared" ref="AK172:AU174" si="195">"х"</f>
        <v>х</v>
      </c>
      <c r="AL172" s="4" t="str">
        <f t="shared" si="195"/>
        <v>х</v>
      </c>
      <c r="AM172" s="4" t="str">
        <f t="shared" si="195"/>
        <v>х</v>
      </c>
      <c r="AN172" s="4" t="str">
        <f t="shared" si="195"/>
        <v>х</v>
      </c>
      <c r="AO172" s="4" t="str">
        <f t="shared" si="195"/>
        <v>х</v>
      </c>
      <c r="AP172" s="4" t="str">
        <f t="shared" si="195"/>
        <v>х</v>
      </c>
      <c r="AQ172" s="4" t="str">
        <f t="shared" si="195"/>
        <v>х</v>
      </c>
      <c r="AR172" s="4" t="str">
        <f t="shared" si="195"/>
        <v>х</v>
      </c>
      <c r="AS172" s="4" t="str">
        <f t="shared" si="195"/>
        <v>х</v>
      </c>
      <c r="AT172" s="4" t="str">
        <f t="shared" si="195"/>
        <v>х</v>
      </c>
      <c r="AU172" s="4" t="str">
        <f t="shared" si="195"/>
        <v>х</v>
      </c>
      <c r="AV172" s="4" t="str">
        <f t="shared" si="190"/>
        <v>х</v>
      </c>
      <c r="AW172" s="4" t="str">
        <f t="shared" si="190"/>
        <v>х</v>
      </c>
      <c r="AX172" s="4" t="str">
        <f t="shared" si="190"/>
        <v>х</v>
      </c>
      <c r="AY172" s="4" t="str">
        <f t="shared" si="190"/>
        <v>х</v>
      </c>
      <c r="AZ172" s="4" t="str">
        <f t="shared" si="190"/>
        <v>х</v>
      </c>
      <c r="BA172" s="4" t="str">
        <f t="shared" si="190"/>
        <v>х</v>
      </c>
      <c r="BB172" s="4" t="str">
        <f t="shared" si="190"/>
        <v>х</v>
      </c>
      <c r="BC172" s="4" t="str">
        <f t="shared" si="190"/>
        <v>х</v>
      </c>
      <c r="BD172" s="4" t="str">
        <f t="shared" si="190"/>
        <v>х</v>
      </c>
      <c r="BE172" s="4" t="str">
        <f t="shared" si="190"/>
        <v>х</v>
      </c>
      <c r="BF172" s="4" t="str">
        <f t="shared" si="190"/>
        <v>х</v>
      </c>
      <c r="BG172" s="4" t="str">
        <f t="shared" ref="BG172:BQ174" si="196">"х"</f>
        <v>х</v>
      </c>
      <c r="BH172" s="4" t="str">
        <f t="shared" si="196"/>
        <v>х</v>
      </c>
      <c r="BI172" s="4" t="str">
        <f t="shared" si="196"/>
        <v>х</v>
      </c>
      <c r="BJ172" s="4" t="str">
        <f t="shared" si="196"/>
        <v>х</v>
      </c>
      <c r="BK172" s="4" t="str">
        <f t="shared" si="196"/>
        <v>х</v>
      </c>
      <c r="BL172" s="4" t="str">
        <f t="shared" si="196"/>
        <v>х</v>
      </c>
      <c r="BM172" s="4" t="str">
        <f t="shared" si="196"/>
        <v>х</v>
      </c>
      <c r="BN172" s="4" t="str">
        <f t="shared" si="196"/>
        <v>х</v>
      </c>
      <c r="BO172" s="4" t="str">
        <f t="shared" si="196"/>
        <v>х</v>
      </c>
      <c r="BP172" s="4" t="str">
        <f t="shared" si="196"/>
        <v>х</v>
      </c>
      <c r="BQ172" s="4" t="str">
        <f t="shared" si="196"/>
        <v>х</v>
      </c>
      <c r="BR172" s="4" t="str">
        <f>"1970"</f>
        <v>1970</v>
      </c>
      <c r="BS172" s="4" t="str">
        <f>"45,00"</f>
        <v>45,00</v>
      </c>
      <c r="BT172" s="4" t="str">
        <f>"2024-2026"</f>
        <v>2024-2026</v>
      </c>
      <c r="BU172" s="4" t="str">
        <f t="shared" si="153"/>
        <v>нет</v>
      </c>
      <c r="BV172" s="4" t="str">
        <f t="shared" si="167"/>
        <v>x</v>
      </c>
      <c r="BW172" s="4" t="str">
        <f t="shared" si="167"/>
        <v>x</v>
      </c>
      <c r="BX172" s="4" t="str">
        <f t="shared" si="167"/>
        <v>x</v>
      </c>
      <c r="BY172" s="4" t="str">
        <f t="shared" si="192"/>
        <v>нет</v>
      </c>
      <c r="BZ172" s="4" t="str">
        <f t="shared" si="193"/>
        <v>x</v>
      </c>
      <c r="CA172" s="4" t="str">
        <f t="shared" si="193"/>
        <v>x</v>
      </c>
      <c r="CB172" s="4" t="str">
        <f t="shared" si="193"/>
        <v>x</v>
      </c>
      <c r="CC172" s="4" t="str">
        <f>"1970"</f>
        <v>1970</v>
      </c>
      <c r="CD172" s="4" t="str">
        <f>"50,00"</f>
        <v>50,00</v>
      </c>
      <c r="CE172" s="4" t="str">
        <f>"2024-2026"</f>
        <v>2024-2026</v>
      </c>
      <c r="CF172" s="4" t="str">
        <f>"1970"</f>
        <v>1970</v>
      </c>
      <c r="CG172" s="4" t="str">
        <f>"40,00"</f>
        <v>40,00</v>
      </c>
      <c r="CH172" s="4" t="str">
        <f>"2024-2026"</f>
        <v>2024-2026</v>
      </c>
      <c r="CI172" s="4" t="str">
        <f>"50,00"</f>
        <v>50,00</v>
      </c>
      <c r="CJ172" s="4" t="str">
        <f>"2024-2026"</f>
        <v>2024-2026</v>
      </c>
    </row>
    <row r="173" spans="1:88" ht="11.25" customHeight="1">
      <c r="A173" s="45" t="str">
        <f>"24.160"</f>
        <v>24.160</v>
      </c>
      <c r="B173" s="46" t="str">
        <f>"г. Харовск, ул.Луговая, д.27"</f>
        <v>г. Харовск, ул.Луговая, д.27</v>
      </c>
      <c r="C173" s="6" t="str">
        <f>"1972"</f>
        <v>1972</v>
      </c>
      <c r="D173" s="4" t="str">
        <f>"1972"</f>
        <v>1972</v>
      </c>
      <c r="E173" s="4" t="str">
        <f>"45,00"</f>
        <v>45,00</v>
      </c>
      <c r="F173" s="4" t="str">
        <f>"2025-2027"</f>
        <v>2025-2027</v>
      </c>
      <c r="G173" s="4" t="str">
        <f t="shared" si="191"/>
        <v>нет</v>
      </c>
      <c r="H173" s="4" t="str">
        <f>""</f>
        <v/>
      </c>
      <c r="I173" s="4" t="str">
        <f>""</f>
        <v/>
      </c>
      <c r="J173" s="4" t="str">
        <f>""</f>
        <v/>
      </c>
      <c r="K173" s="4" t="str">
        <f t="shared" si="151"/>
        <v>нет</v>
      </c>
      <c r="L173" s="4" t="str">
        <f>""</f>
        <v/>
      </c>
      <c r="M173" s="4" t="str">
        <f>""</f>
        <v/>
      </c>
      <c r="N173" s="4" t="str">
        <f>""</f>
        <v/>
      </c>
      <c r="O173" s="7" t="str">
        <f t="shared" si="194"/>
        <v>х</v>
      </c>
      <c r="P173" s="4" t="str">
        <f t="shared" si="194"/>
        <v>х</v>
      </c>
      <c r="Q173" s="4" t="str">
        <f t="shared" si="194"/>
        <v>х</v>
      </c>
      <c r="R173" s="4" t="str">
        <f t="shared" si="194"/>
        <v>х</v>
      </c>
      <c r="S173" s="4" t="str">
        <f t="shared" si="194"/>
        <v>х</v>
      </c>
      <c r="T173" s="4" t="str">
        <f t="shared" si="194"/>
        <v>х</v>
      </c>
      <c r="U173" s="4" t="str">
        <f t="shared" si="194"/>
        <v>х</v>
      </c>
      <c r="V173" s="4" t="str">
        <f t="shared" si="194"/>
        <v>х</v>
      </c>
      <c r="W173" s="4" t="str">
        <f t="shared" si="194"/>
        <v>х</v>
      </c>
      <c r="X173" s="4" t="str">
        <f t="shared" si="194"/>
        <v>х</v>
      </c>
      <c r="Y173" s="8" t="str">
        <f t="shared" si="194"/>
        <v>х</v>
      </c>
      <c r="Z173" s="4" t="str">
        <f t="shared" si="189"/>
        <v>х</v>
      </c>
      <c r="AA173" s="4" t="str">
        <f t="shared" si="189"/>
        <v>х</v>
      </c>
      <c r="AB173" s="4" t="str">
        <f t="shared" si="189"/>
        <v>х</v>
      </c>
      <c r="AC173" s="4" t="str">
        <f t="shared" si="189"/>
        <v>х</v>
      </c>
      <c r="AD173" s="4" t="str">
        <f t="shared" si="189"/>
        <v>х</v>
      </c>
      <c r="AE173" s="4" t="str">
        <f t="shared" si="189"/>
        <v>х</v>
      </c>
      <c r="AF173" s="4" t="str">
        <f t="shared" si="189"/>
        <v>х</v>
      </c>
      <c r="AG173" s="4" t="str">
        <f t="shared" si="189"/>
        <v>х</v>
      </c>
      <c r="AH173" s="4" t="str">
        <f t="shared" si="189"/>
        <v>х</v>
      </c>
      <c r="AI173" s="4" t="str">
        <f t="shared" si="189"/>
        <v>х</v>
      </c>
      <c r="AJ173" s="4" t="str">
        <f t="shared" si="189"/>
        <v>х</v>
      </c>
      <c r="AK173" s="7" t="str">
        <f t="shared" si="195"/>
        <v>х</v>
      </c>
      <c r="AL173" s="4" t="str">
        <f t="shared" si="195"/>
        <v>х</v>
      </c>
      <c r="AM173" s="4" t="str">
        <f t="shared" si="195"/>
        <v>х</v>
      </c>
      <c r="AN173" s="4" t="str">
        <f t="shared" si="195"/>
        <v>х</v>
      </c>
      <c r="AO173" s="4" t="str">
        <f t="shared" si="195"/>
        <v>х</v>
      </c>
      <c r="AP173" s="4" t="str">
        <f t="shared" si="195"/>
        <v>х</v>
      </c>
      <c r="AQ173" s="4" t="str">
        <f t="shared" si="195"/>
        <v>х</v>
      </c>
      <c r="AR173" s="4" t="str">
        <f t="shared" si="195"/>
        <v>х</v>
      </c>
      <c r="AS173" s="4" t="str">
        <f t="shared" si="195"/>
        <v>х</v>
      </c>
      <c r="AT173" s="4" t="str">
        <f t="shared" si="195"/>
        <v>х</v>
      </c>
      <c r="AU173" s="4" t="str">
        <f t="shared" si="195"/>
        <v>х</v>
      </c>
      <c r="AV173" s="4" t="str">
        <f t="shared" si="190"/>
        <v>х</v>
      </c>
      <c r="AW173" s="4" t="str">
        <f t="shared" si="190"/>
        <v>х</v>
      </c>
      <c r="AX173" s="4" t="str">
        <f t="shared" si="190"/>
        <v>х</v>
      </c>
      <c r="AY173" s="4" t="str">
        <f t="shared" si="190"/>
        <v>х</v>
      </c>
      <c r="AZ173" s="4" t="str">
        <f t="shared" si="190"/>
        <v>х</v>
      </c>
      <c r="BA173" s="4" t="str">
        <f t="shared" si="190"/>
        <v>х</v>
      </c>
      <c r="BB173" s="4" t="str">
        <f t="shared" si="190"/>
        <v>х</v>
      </c>
      <c r="BC173" s="4" t="str">
        <f t="shared" si="190"/>
        <v>х</v>
      </c>
      <c r="BD173" s="4" t="str">
        <f t="shared" si="190"/>
        <v>х</v>
      </c>
      <c r="BE173" s="4" t="str">
        <f t="shared" si="190"/>
        <v>х</v>
      </c>
      <c r="BF173" s="4" t="str">
        <f t="shared" si="190"/>
        <v>х</v>
      </c>
      <c r="BG173" s="4" t="str">
        <f t="shared" si="196"/>
        <v>х</v>
      </c>
      <c r="BH173" s="4" t="str">
        <f t="shared" si="196"/>
        <v>х</v>
      </c>
      <c r="BI173" s="4" t="str">
        <f t="shared" si="196"/>
        <v>х</v>
      </c>
      <c r="BJ173" s="4" t="str">
        <f t="shared" si="196"/>
        <v>х</v>
      </c>
      <c r="BK173" s="4" t="str">
        <f t="shared" si="196"/>
        <v>х</v>
      </c>
      <c r="BL173" s="4" t="str">
        <f t="shared" si="196"/>
        <v>х</v>
      </c>
      <c r="BM173" s="4" t="str">
        <f t="shared" si="196"/>
        <v>х</v>
      </c>
      <c r="BN173" s="4" t="str">
        <f t="shared" si="196"/>
        <v>х</v>
      </c>
      <c r="BO173" s="4" t="str">
        <f t="shared" si="196"/>
        <v>х</v>
      </c>
      <c r="BP173" s="4" t="str">
        <f t="shared" si="196"/>
        <v>х</v>
      </c>
      <c r="BQ173" s="4" t="str">
        <f t="shared" si="196"/>
        <v>х</v>
      </c>
      <c r="BR173" s="4" t="str">
        <f>"1972"</f>
        <v>1972</v>
      </c>
      <c r="BS173" s="4" t="str">
        <f>"40,00"</f>
        <v>40,00</v>
      </c>
      <c r="BT173" s="4" t="str">
        <f>"2025-2027"</f>
        <v>2025-2027</v>
      </c>
      <c r="BU173" s="4" t="str">
        <f t="shared" si="153"/>
        <v>нет</v>
      </c>
      <c r="BV173" s="4" t="str">
        <f t="shared" si="167"/>
        <v>x</v>
      </c>
      <c r="BW173" s="4" t="str">
        <f t="shared" si="167"/>
        <v>x</v>
      </c>
      <c r="BX173" s="4" t="str">
        <f t="shared" si="167"/>
        <v>x</v>
      </c>
      <c r="BY173" s="4" t="str">
        <f t="shared" si="192"/>
        <v>нет</v>
      </c>
      <c r="BZ173" s="4" t="str">
        <f t="shared" si="193"/>
        <v>x</v>
      </c>
      <c r="CA173" s="4" t="str">
        <f t="shared" si="193"/>
        <v>x</v>
      </c>
      <c r="CB173" s="4" t="str">
        <f t="shared" si="193"/>
        <v>x</v>
      </c>
      <c r="CC173" s="4" t="str">
        <f>"1972"</f>
        <v>1972</v>
      </c>
      <c r="CD173" s="4" t="str">
        <f>"45,00"</f>
        <v>45,00</v>
      </c>
      <c r="CE173" s="4" t="str">
        <f>"2025-2027"</f>
        <v>2025-2027</v>
      </c>
      <c r="CF173" s="4" t="str">
        <f>"1972"</f>
        <v>1972</v>
      </c>
      <c r="CG173" s="4" t="str">
        <f>"55,00"</f>
        <v>55,00</v>
      </c>
      <c r="CH173" s="4" t="str">
        <f>"2025-2027"</f>
        <v>2025-2027</v>
      </c>
      <c r="CI173" s="4" t="str">
        <f>"48,00"</f>
        <v>48,00</v>
      </c>
      <c r="CJ173" s="4" t="str">
        <f>"2025-2027"</f>
        <v>2025-2027</v>
      </c>
    </row>
    <row r="174" spans="1:88" ht="11.25" customHeight="1">
      <c r="A174" s="45" t="str">
        <f>"24.161"</f>
        <v>24.161</v>
      </c>
      <c r="B174" s="46" t="str">
        <f>"г. Харовск, ул.Луговая, д.29"</f>
        <v>г. Харовск, ул.Луговая, д.29</v>
      </c>
      <c r="C174" s="6" t="str">
        <f>"1973"</f>
        <v>1973</v>
      </c>
      <c r="D174" s="4" t="str">
        <f>"1973"</f>
        <v>1973</v>
      </c>
      <c r="E174" s="4" t="str">
        <f>"45,00"</f>
        <v>45,00</v>
      </c>
      <c r="F174" s="4" t="str">
        <f>"2025-2027"</f>
        <v>2025-2027</v>
      </c>
      <c r="G174" s="4" t="str">
        <f t="shared" si="191"/>
        <v>нет</v>
      </c>
      <c r="H174" s="4" t="str">
        <f>""</f>
        <v/>
      </c>
      <c r="I174" s="4" t="str">
        <f>""</f>
        <v/>
      </c>
      <c r="J174" s="4" t="str">
        <f>""</f>
        <v/>
      </c>
      <c r="K174" s="4" t="str">
        <f t="shared" si="151"/>
        <v>нет</v>
      </c>
      <c r="L174" s="4" t="str">
        <f>""</f>
        <v/>
      </c>
      <c r="M174" s="4" t="str">
        <f>""</f>
        <v/>
      </c>
      <c r="N174" s="4" t="str">
        <f>""</f>
        <v/>
      </c>
      <c r="O174" s="7" t="str">
        <f t="shared" si="194"/>
        <v>х</v>
      </c>
      <c r="P174" s="4" t="str">
        <f t="shared" si="194"/>
        <v>х</v>
      </c>
      <c r="Q174" s="4" t="str">
        <f t="shared" si="194"/>
        <v>х</v>
      </c>
      <c r="R174" s="4" t="str">
        <f t="shared" si="194"/>
        <v>х</v>
      </c>
      <c r="S174" s="4" t="str">
        <f t="shared" si="194"/>
        <v>х</v>
      </c>
      <c r="T174" s="4" t="str">
        <f t="shared" si="194"/>
        <v>х</v>
      </c>
      <c r="U174" s="4" t="str">
        <f t="shared" si="194"/>
        <v>х</v>
      </c>
      <c r="V174" s="4" t="str">
        <f t="shared" si="194"/>
        <v>х</v>
      </c>
      <c r="W174" s="4" t="str">
        <f t="shared" si="194"/>
        <v>х</v>
      </c>
      <c r="X174" s="4" t="str">
        <f t="shared" si="194"/>
        <v>х</v>
      </c>
      <c r="Y174" s="8" t="str">
        <f t="shared" si="194"/>
        <v>х</v>
      </c>
      <c r="Z174" s="4" t="str">
        <f t="shared" si="189"/>
        <v>х</v>
      </c>
      <c r="AA174" s="4" t="str">
        <f t="shared" si="189"/>
        <v>х</v>
      </c>
      <c r="AB174" s="4" t="str">
        <f t="shared" si="189"/>
        <v>х</v>
      </c>
      <c r="AC174" s="4" t="str">
        <f t="shared" si="189"/>
        <v>х</v>
      </c>
      <c r="AD174" s="4" t="str">
        <f t="shared" si="189"/>
        <v>х</v>
      </c>
      <c r="AE174" s="4" t="str">
        <f t="shared" si="189"/>
        <v>х</v>
      </c>
      <c r="AF174" s="4" t="str">
        <f t="shared" si="189"/>
        <v>х</v>
      </c>
      <c r="AG174" s="4" t="str">
        <f t="shared" si="189"/>
        <v>х</v>
      </c>
      <c r="AH174" s="4" t="str">
        <f t="shared" si="189"/>
        <v>х</v>
      </c>
      <c r="AI174" s="4" t="str">
        <f t="shared" si="189"/>
        <v>х</v>
      </c>
      <c r="AJ174" s="4" t="str">
        <f t="shared" si="189"/>
        <v>х</v>
      </c>
      <c r="AK174" s="7" t="str">
        <f t="shared" si="195"/>
        <v>х</v>
      </c>
      <c r="AL174" s="4" t="str">
        <f t="shared" si="195"/>
        <v>х</v>
      </c>
      <c r="AM174" s="4" t="str">
        <f t="shared" si="195"/>
        <v>х</v>
      </c>
      <c r="AN174" s="4" t="str">
        <f t="shared" si="195"/>
        <v>х</v>
      </c>
      <c r="AO174" s="4" t="str">
        <f t="shared" si="195"/>
        <v>х</v>
      </c>
      <c r="AP174" s="4" t="str">
        <f t="shared" si="195"/>
        <v>х</v>
      </c>
      <c r="AQ174" s="4" t="str">
        <f t="shared" si="195"/>
        <v>х</v>
      </c>
      <c r="AR174" s="4" t="str">
        <f t="shared" si="195"/>
        <v>х</v>
      </c>
      <c r="AS174" s="4" t="str">
        <f t="shared" si="195"/>
        <v>х</v>
      </c>
      <c r="AT174" s="4" t="str">
        <f t="shared" si="195"/>
        <v>х</v>
      </c>
      <c r="AU174" s="4" t="str">
        <f t="shared" si="195"/>
        <v>х</v>
      </c>
      <c r="AV174" s="4" t="str">
        <f t="shared" si="190"/>
        <v>х</v>
      </c>
      <c r="AW174" s="4" t="str">
        <f t="shared" si="190"/>
        <v>х</v>
      </c>
      <c r="AX174" s="4" t="str">
        <f t="shared" si="190"/>
        <v>х</v>
      </c>
      <c r="AY174" s="4" t="str">
        <f t="shared" si="190"/>
        <v>х</v>
      </c>
      <c r="AZ174" s="4" t="str">
        <f t="shared" si="190"/>
        <v>х</v>
      </c>
      <c r="BA174" s="4" t="str">
        <f t="shared" si="190"/>
        <v>х</v>
      </c>
      <c r="BB174" s="4" t="str">
        <f t="shared" si="190"/>
        <v>х</v>
      </c>
      <c r="BC174" s="4" t="str">
        <f t="shared" si="190"/>
        <v>х</v>
      </c>
      <c r="BD174" s="4" t="str">
        <f t="shared" si="190"/>
        <v>х</v>
      </c>
      <c r="BE174" s="4" t="str">
        <f t="shared" si="190"/>
        <v>х</v>
      </c>
      <c r="BF174" s="4" t="str">
        <f t="shared" si="190"/>
        <v>х</v>
      </c>
      <c r="BG174" s="4" t="str">
        <f t="shared" si="196"/>
        <v>х</v>
      </c>
      <c r="BH174" s="4" t="str">
        <f t="shared" si="196"/>
        <v>х</v>
      </c>
      <c r="BI174" s="4" t="str">
        <f t="shared" si="196"/>
        <v>х</v>
      </c>
      <c r="BJ174" s="4" t="str">
        <f t="shared" si="196"/>
        <v>х</v>
      </c>
      <c r="BK174" s="4" t="str">
        <f t="shared" si="196"/>
        <v>х</v>
      </c>
      <c r="BL174" s="4" t="str">
        <f t="shared" si="196"/>
        <v>х</v>
      </c>
      <c r="BM174" s="4" t="str">
        <f t="shared" si="196"/>
        <v>х</v>
      </c>
      <c r="BN174" s="4" t="str">
        <f t="shared" si="196"/>
        <v>х</v>
      </c>
      <c r="BO174" s="4" t="str">
        <f t="shared" si="196"/>
        <v>х</v>
      </c>
      <c r="BP174" s="4" t="str">
        <f t="shared" si="196"/>
        <v>х</v>
      </c>
      <c r="BQ174" s="4" t="str">
        <f t="shared" si="196"/>
        <v>х</v>
      </c>
      <c r="BR174" s="4" t="str">
        <f>"1973"</f>
        <v>1973</v>
      </c>
      <c r="BS174" s="4" t="str">
        <f>"45,00"</f>
        <v>45,00</v>
      </c>
      <c r="BT174" s="4" t="str">
        <f>"2025-2027"</f>
        <v>2025-2027</v>
      </c>
      <c r="BU174" s="4" t="str">
        <f t="shared" si="153"/>
        <v>нет</v>
      </c>
      <c r="BV174" s="4" t="str">
        <f t="shared" ref="BV174:BX193" si="197">"x"</f>
        <v>x</v>
      </c>
      <c r="BW174" s="4" t="str">
        <f t="shared" si="197"/>
        <v>x</v>
      </c>
      <c r="BX174" s="4" t="str">
        <f t="shared" si="197"/>
        <v>x</v>
      </c>
      <c r="BY174" s="4" t="str">
        <f t="shared" si="192"/>
        <v>нет</v>
      </c>
      <c r="BZ174" s="4" t="str">
        <f t="shared" si="193"/>
        <v>x</v>
      </c>
      <c r="CA174" s="4" t="str">
        <f t="shared" si="193"/>
        <v>x</v>
      </c>
      <c r="CB174" s="4" t="str">
        <f t="shared" si="193"/>
        <v>x</v>
      </c>
      <c r="CC174" s="4" t="str">
        <f>"1973"</f>
        <v>1973</v>
      </c>
      <c r="CD174" s="4" t="str">
        <f>"45,00"</f>
        <v>45,00</v>
      </c>
      <c r="CE174" s="4" t="str">
        <f>"2025-2027"</f>
        <v>2025-2027</v>
      </c>
      <c r="CF174" s="4" t="str">
        <f>"1973"</f>
        <v>1973</v>
      </c>
      <c r="CG174" s="4" t="str">
        <f>"40,00"</f>
        <v>40,00</v>
      </c>
      <c r="CH174" s="4" t="str">
        <f>"2025-2027"</f>
        <v>2025-2027</v>
      </c>
      <c r="CI174" s="4" t="str">
        <f>"47,00"</f>
        <v>47,00</v>
      </c>
      <c r="CJ174" s="4" t="str">
        <f>"2025-2027"</f>
        <v>2025-2027</v>
      </c>
    </row>
    <row r="175" spans="1:88" ht="11.25" customHeight="1">
      <c r="A175" s="45" t="str">
        <f>"24.162"</f>
        <v>24.162</v>
      </c>
      <c r="B175" s="46" t="str">
        <f>"г. Харовск, ул.Механизаторов, д.16"</f>
        <v>г. Харовск, ул.Механизаторов, д.16</v>
      </c>
      <c r="C175" s="6" t="str">
        <f>"1970"</f>
        <v>1970</v>
      </c>
      <c r="D175" s="4" t="str">
        <f>"1970"</f>
        <v>1970</v>
      </c>
      <c r="E175" s="4" t="str">
        <f>"40,00"</f>
        <v>40,00</v>
      </c>
      <c r="F175" s="4" t="str">
        <f>"2024-2026"</f>
        <v>2024-2026</v>
      </c>
      <c r="G175" s="4" t="str">
        <f t="shared" si="191"/>
        <v>нет</v>
      </c>
      <c r="H175" s="4" t="str">
        <f>""</f>
        <v/>
      </c>
      <c r="I175" s="4" t="str">
        <f>""</f>
        <v/>
      </c>
      <c r="J175" s="4" t="str">
        <f>""</f>
        <v/>
      </c>
      <c r="K175" s="4" t="str">
        <f t="shared" si="151"/>
        <v>нет</v>
      </c>
      <c r="L175" s="4" t="str">
        <f>""</f>
        <v/>
      </c>
      <c r="M175" s="4" t="str">
        <f>""</f>
        <v/>
      </c>
      <c r="N175" s="4" t="str">
        <f>""</f>
        <v/>
      </c>
      <c r="O175" s="7" t="str">
        <f>"1970"</f>
        <v>1970</v>
      </c>
      <c r="P175" s="4" t="str">
        <f>"40,00"</f>
        <v>40,00</v>
      </c>
      <c r="Q175" s="4" t="str">
        <f>"2024-2026"</f>
        <v>2024-2026</v>
      </c>
      <c r="R175" s="4" t="str">
        <f>"да"</f>
        <v>да</v>
      </c>
      <c r="S175" s="4" t="str">
        <f>"2009"</f>
        <v>2009</v>
      </c>
      <c r="T175" s="4" t="str">
        <f>"75,00"</f>
        <v>75,00</v>
      </c>
      <c r="U175" s="4" t="str">
        <f>"2024-2026"</f>
        <v>2024-2026</v>
      </c>
      <c r="V175" s="4" t="str">
        <f>"нет"</f>
        <v>нет</v>
      </c>
      <c r="W175" s="4" t="str">
        <f>""</f>
        <v/>
      </c>
      <c r="X175" s="4" t="str">
        <f>""</f>
        <v/>
      </c>
      <c r="Y175" s="8" t="str">
        <f>""</f>
        <v/>
      </c>
      <c r="Z175" s="4" t="str">
        <f>"1970"</f>
        <v>1970</v>
      </c>
      <c r="AA175" s="4" t="str">
        <f>"40,00"</f>
        <v>40,00</v>
      </c>
      <c r="AB175" s="4" t="str">
        <f>"2024-2026"</f>
        <v>2024-2026</v>
      </c>
      <c r="AC175" s="4" t="str">
        <f>"нет"</f>
        <v>нет</v>
      </c>
      <c r="AD175" s="4" t="str">
        <f>""</f>
        <v/>
      </c>
      <c r="AE175" s="4" t="str">
        <f>""</f>
        <v/>
      </c>
      <c r="AF175" s="4" t="str">
        <f>""</f>
        <v/>
      </c>
      <c r="AG175" s="4" t="str">
        <f>"нет"</f>
        <v>нет</v>
      </c>
      <c r="AH175" s="4" t="str">
        <f>""</f>
        <v/>
      </c>
      <c r="AI175" s="4" t="str">
        <f>""</f>
        <v/>
      </c>
      <c r="AJ175" s="4" t="str">
        <f>""</f>
        <v/>
      </c>
      <c r="AK175" s="7" t="str">
        <f>"1970"</f>
        <v>1970</v>
      </c>
      <c r="AL175" s="4" t="str">
        <f>"40,00"</f>
        <v>40,00</v>
      </c>
      <c r="AM175" s="4" t="str">
        <f>"2024-2026"</f>
        <v>2024-2026</v>
      </c>
      <c r="AN175" s="4" t="str">
        <f>"нет"</f>
        <v>нет</v>
      </c>
      <c r="AO175" s="4" t="str">
        <f>""</f>
        <v/>
      </c>
      <c r="AP175" s="4" t="str">
        <f>""</f>
        <v/>
      </c>
      <c r="AQ175" s="4" t="str">
        <f>""</f>
        <v/>
      </c>
      <c r="AR175" s="4" t="str">
        <f>"нет"</f>
        <v>нет</v>
      </c>
      <c r="AS175" s="4" t="str">
        <f>""</f>
        <v/>
      </c>
      <c r="AT175" s="4" t="str">
        <f>""</f>
        <v/>
      </c>
      <c r="AU175" s="4" t="str">
        <f>""</f>
        <v/>
      </c>
      <c r="AV175" s="4" t="str">
        <f t="shared" si="190"/>
        <v>х</v>
      </c>
      <c r="AW175" s="4" t="str">
        <f t="shared" si="190"/>
        <v>х</v>
      </c>
      <c r="AX175" s="4" t="str">
        <f t="shared" si="190"/>
        <v>х</v>
      </c>
      <c r="AY175" s="4" t="str">
        <f t="shared" si="190"/>
        <v>х</v>
      </c>
      <c r="AZ175" s="4" t="str">
        <f t="shared" si="190"/>
        <v>х</v>
      </c>
      <c r="BA175" s="4" t="str">
        <f t="shared" si="190"/>
        <v>х</v>
      </c>
      <c r="BB175" s="4" t="str">
        <f t="shared" si="190"/>
        <v>х</v>
      </c>
      <c r="BC175" s="4" t="str">
        <f t="shared" si="190"/>
        <v>х</v>
      </c>
      <c r="BD175" s="4" t="str">
        <f t="shared" si="190"/>
        <v>х</v>
      </c>
      <c r="BE175" s="4" t="str">
        <f t="shared" si="190"/>
        <v>х</v>
      </c>
      <c r="BF175" s="4" t="str">
        <f t="shared" si="190"/>
        <v>х</v>
      </c>
      <c r="BG175" s="4" t="str">
        <f>"1970"</f>
        <v>1970</v>
      </c>
      <c r="BH175" s="4" t="str">
        <f>"40,00"</f>
        <v>40,00</v>
      </c>
      <c r="BI175" s="4" t="str">
        <f>"2024-2026"</f>
        <v>2024-2026</v>
      </c>
      <c r="BJ175" s="4" t="str">
        <f>"нет"</f>
        <v>нет</v>
      </c>
      <c r="BK175" s="4" t="str">
        <f>""</f>
        <v/>
      </c>
      <c r="BL175" s="4" t="str">
        <f>""</f>
        <v/>
      </c>
      <c r="BM175" s="4" t="str">
        <f>""</f>
        <v/>
      </c>
      <c r="BN175" s="4" t="str">
        <f>"нет"</f>
        <v>нет</v>
      </c>
      <c r="BO175" s="4" t="str">
        <f>""</f>
        <v/>
      </c>
      <c r="BP175" s="4" t="str">
        <f>""</f>
        <v/>
      </c>
      <c r="BQ175" s="4" t="str">
        <f>""</f>
        <v/>
      </c>
      <c r="BR175" s="4" t="str">
        <f>"1970"</f>
        <v>1970</v>
      </c>
      <c r="BS175" s="4" t="str">
        <f>"40,00"</f>
        <v>40,00</v>
      </c>
      <c r="BT175" s="4" t="str">
        <f>"2024-2026"</f>
        <v>2024-2026</v>
      </c>
      <c r="BU175" s="4" t="str">
        <f t="shared" si="153"/>
        <v>нет</v>
      </c>
      <c r="BV175" s="4" t="str">
        <f t="shared" si="197"/>
        <v>x</v>
      </c>
      <c r="BW175" s="4" t="str">
        <f t="shared" si="197"/>
        <v>x</v>
      </c>
      <c r="BX175" s="4" t="str">
        <f t="shared" si="197"/>
        <v>x</v>
      </c>
      <c r="BY175" s="4" t="str">
        <f t="shared" si="192"/>
        <v>нет</v>
      </c>
      <c r="BZ175" s="4" t="str">
        <f t="shared" si="193"/>
        <v>x</v>
      </c>
      <c r="CA175" s="4" t="str">
        <f t="shared" si="193"/>
        <v>x</v>
      </c>
      <c r="CB175" s="4" t="str">
        <f t="shared" si="193"/>
        <v>x</v>
      </c>
      <c r="CC175" s="4" t="str">
        <f>"1970"</f>
        <v>1970</v>
      </c>
      <c r="CD175" s="4" t="str">
        <f>"35,00"</f>
        <v>35,00</v>
      </c>
      <c r="CE175" s="4" t="str">
        <f>"2024-2026"</f>
        <v>2024-2026</v>
      </c>
      <c r="CF175" s="4" t="str">
        <f>"1970"</f>
        <v>1970</v>
      </c>
      <c r="CG175" s="4" t="str">
        <f>"35,00"</f>
        <v>35,00</v>
      </c>
      <c r="CH175" s="4" t="str">
        <f>"2024-2026"</f>
        <v>2024-2026</v>
      </c>
      <c r="CI175" s="4" t="str">
        <f>"34,00"</f>
        <v>34,00</v>
      </c>
      <c r="CJ175" s="4" t="str">
        <f>"2024-2026"</f>
        <v>2024-2026</v>
      </c>
    </row>
    <row r="176" spans="1:88" ht="11.25" customHeight="1">
      <c r="A176" s="45" t="str">
        <f>"24.163"</f>
        <v>24.163</v>
      </c>
      <c r="B176" s="46" t="str">
        <f>"г. Харовск, ул.Механизаторов, д.6"</f>
        <v>г. Харовск, ул.Механизаторов, д.6</v>
      </c>
      <c r="C176" s="6" t="str">
        <f>"1970"</f>
        <v>1970</v>
      </c>
      <c r="D176" s="4" t="str">
        <f>"1970"</f>
        <v>1970</v>
      </c>
      <c r="E176" s="4" t="str">
        <f>"50,00"</f>
        <v>50,00</v>
      </c>
      <c r="F176" s="4" t="str">
        <f>"2024-2026"</f>
        <v>2024-2026</v>
      </c>
      <c r="G176" s="4" t="str">
        <f t="shared" si="191"/>
        <v>нет</v>
      </c>
      <c r="H176" s="4" t="str">
        <f>""</f>
        <v/>
      </c>
      <c r="I176" s="4" t="str">
        <f>""</f>
        <v/>
      </c>
      <c r="J176" s="4" t="str">
        <f>""</f>
        <v/>
      </c>
      <c r="K176" s="4" t="str">
        <f t="shared" si="151"/>
        <v>нет</v>
      </c>
      <c r="L176" s="4" t="str">
        <f>""</f>
        <v/>
      </c>
      <c r="M176" s="4" t="str">
        <f>""</f>
        <v/>
      </c>
      <c r="N176" s="4" t="str">
        <f>""</f>
        <v/>
      </c>
      <c r="O176" s="7" t="str">
        <f t="shared" ref="O176:X181" si="198">"х"</f>
        <v>х</v>
      </c>
      <c r="P176" s="4" t="str">
        <f t="shared" si="198"/>
        <v>х</v>
      </c>
      <c r="Q176" s="4" t="str">
        <f t="shared" si="198"/>
        <v>х</v>
      </c>
      <c r="R176" s="4" t="str">
        <f t="shared" si="198"/>
        <v>х</v>
      </c>
      <c r="S176" s="4" t="str">
        <f t="shared" si="198"/>
        <v>х</v>
      </c>
      <c r="T176" s="4" t="str">
        <f t="shared" si="198"/>
        <v>х</v>
      </c>
      <c r="U176" s="4" t="str">
        <f t="shared" si="198"/>
        <v>х</v>
      </c>
      <c r="V176" s="4" t="str">
        <f t="shared" si="198"/>
        <v>х</v>
      </c>
      <c r="W176" s="4" t="str">
        <f t="shared" si="198"/>
        <v>х</v>
      </c>
      <c r="X176" s="4" t="str">
        <f t="shared" si="198"/>
        <v>х</v>
      </c>
      <c r="Y176" s="8" t="str">
        <f t="shared" ref="Y176:AH181" si="199">"х"</f>
        <v>х</v>
      </c>
      <c r="Z176" s="4" t="str">
        <f t="shared" si="199"/>
        <v>х</v>
      </c>
      <c r="AA176" s="4" t="str">
        <f t="shared" si="199"/>
        <v>х</v>
      </c>
      <c r="AB176" s="4" t="str">
        <f t="shared" si="199"/>
        <v>х</v>
      </c>
      <c r="AC176" s="4" t="str">
        <f t="shared" si="199"/>
        <v>х</v>
      </c>
      <c r="AD176" s="4" t="str">
        <f t="shared" si="199"/>
        <v>х</v>
      </c>
      <c r="AE176" s="4" t="str">
        <f t="shared" si="199"/>
        <v>х</v>
      </c>
      <c r="AF176" s="4" t="str">
        <f t="shared" si="199"/>
        <v>х</v>
      </c>
      <c r="AG176" s="4" t="str">
        <f t="shared" si="199"/>
        <v>х</v>
      </c>
      <c r="AH176" s="4" t="str">
        <f t="shared" si="199"/>
        <v>х</v>
      </c>
      <c r="AI176" s="4" t="str">
        <f t="shared" ref="AI176:AU181" si="200">"х"</f>
        <v>х</v>
      </c>
      <c r="AJ176" s="4" t="str">
        <f t="shared" si="200"/>
        <v>х</v>
      </c>
      <c r="AK176" s="7" t="str">
        <f t="shared" si="200"/>
        <v>х</v>
      </c>
      <c r="AL176" s="4" t="str">
        <f t="shared" si="200"/>
        <v>х</v>
      </c>
      <c r="AM176" s="4" t="str">
        <f t="shared" si="200"/>
        <v>х</v>
      </c>
      <c r="AN176" s="4" t="str">
        <f t="shared" si="200"/>
        <v>х</v>
      </c>
      <c r="AO176" s="4" t="str">
        <f t="shared" si="200"/>
        <v>х</v>
      </c>
      <c r="AP176" s="4" t="str">
        <f t="shared" si="200"/>
        <v>х</v>
      </c>
      <c r="AQ176" s="4" t="str">
        <f t="shared" si="200"/>
        <v>х</v>
      </c>
      <c r="AR176" s="4" t="str">
        <f t="shared" si="200"/>
        <v>х</v>
      </c>
      <c r="AS176" s="4" t="str">
        <f t="shared" si="200"/>
        <v>х</v>
      </c>
      <c r="AT176" s="4" t="str">
        <f t="shared" si="200"/>
        <v>х</v>
      </c>
      <c r="AU176" s="4" t="str">
        <f t="shared" si="200"/>
        <v>х</v>
      </c>
      <c r="AV176" s="4" t="str">
        <f t="shared" si="190"/>
        <v>х</v>
      </c>
      <c r="AW176" s="4" t="str">
        <f t="shared" si="190"/>
        <v>х</v>
      </c>
      <c r="AX176" s="4" t="str">
        <f t="shared" si="190"/>
        <v>х</v>
      </c>
      <c r="AY176" s="4" t="str">
        <f t="shared" si="190"/>
        <v>х</v>
      </c>
      <c r="AZ176" s="4" t="str">
        <f t="shared" si="190"/>
        <v>х</v>
      </c>
      <c r="BA176" s="4" t="str">
        <f t="shared" si="190"/>
        <v>х</v>
      </c>
      <c r="BB176" s="4" t="str">
        <f t="shared" si="190"/>
        <v>х</v>
      </c>
      <c r="BC176" s="4" t="str">
        <f t="shared" si="190"/>
        <v>х</v>
      </c>
      <c r="BD176" s="4" t="str">
        <f t="shared" si="190"/>
        <v>х</v>
      </c>
      <c r="BE176" s="4" t="str">
        <f t="shared" si="190"/>
        <v>х</v>
      </c>
      <c r="BF176" s="4" t="str">
        <f t="shared" si="190"/>
        <v>х</v>
      </c>
      <c r="BG176" s="4" t="str">
        <f t="shared" ref="BG176:BQ181" si="201">"х"</f>
        <v>х</v>
      </c>
      <c r="BH176" s="4" t="str">
        <f t="shared" si="201"/>
        <v>х</v>
      </c>
      <c r="BI176" s="4" t="str">
        <f t="shared" si="201"/>
        <v>х</v>
      </c>
      <c r="BJ176" s="4" t="str">
        <f t="shared" si="201"/>
        <v>х</v>
      </c>
      <c r="BK176" s="4" t="str">
        <f t="shared" si="201"/>
        <v>х</v>
      </c>
      <c r="BL176" s="4" t="str">
        <f t="shared" si="201"/>
        <v>х</v>
      </c>
      <c r="BM176" s="4" t="str">
        <f t="shared" si="201"/>
        <v>х</v>
      </c>
      <c r="BN176" s="4" t="str">
        <f t="shared" si="201"/>
        <v>х</v>
      </c>
      <c r="BO176" s="4" t="str">
        <f t="shared" si="201"/>
        <v>х</v>
      </c>
      <c r="BP176" s="4" t="str">
        <f t="shared" si="201"/>
        <v>х</v>
      </c>
      <c r="BQ176" s="4" t="str">
        <f t="shared" si="201"/>
        <v>х</v>
      </c>
      <c r="BR176" s="4" t="str">
        <f>"1970"</f>
        <v>1970</v>
      </c>
      <c r="BS176" s="4" t="str">
        <f>"55,00"</f>
        <v>55,00</v>
      </c>
      <c r="BT176" s="4" t="str">
        <f>"2024-2026"</f>
        <v>2024-2026</v>
      </c>
      <c r="BU176" s="4" t="str">
        <f t="shared" si="153"/>
        <v>нет</v>
      </c>
      <c r="BV176" s="4" t="str">
        <f t="shared" si="197"/>
        <v>x</v>
      </c>
      <c r="BW176" s="4" t="str">
        <f t="shared" si="197"/>
        <v>x</v>
      </c>
      <c r="BX176" s="4" t="str">
        <f t="shared" si="197"/>
        <v>x</v>
      </c>
      <c r="BY176" s="4" t="str">
        <f t="shared" si="192"/>
        <v>нет</v>
      </c>
      <c r="BZ176" s="4" t="str">
        <f t="shared" si="193"/>
        <v>x</v>
      </c>
      <c r="CA176" s="4" t="str">
        <f t="shared" si="193"/>
        <v>x</v>
      </c>
      <c r="CB176" s="4" t="str">
        <f t="shared" si="193"/>
        <v>x</v>
      </c>
      <c r="CC176" s="4" t="str">
        <f>"1970"</f>
        <v>1970</v>
      </c>
      <c r="CD176" s="4" t="str">
        <f>"60,00"</f>
        <v>60,00</v>
      </c>
      <c r="CE176" s="4" t="str">
        <f>"2024-2026"</f>
        <v>2024-2026</v>
      </c>
      <c r="CF176" s="4" t="str">
        <f>"1970"</f>
        <v>1970</v>
      </c>
      <c r="CG176" s="4" t="str">
        <f>"45,00"</f>
        <v>45,00</v>
      </c>
      <c r="CH176" s="4" t="str">
        <f>"2024-2026"</f>
        <v>2024-2026</v>
      </c>
      <c r="CI176" s="4" t="str">
        <f>"53,00"</f>
        <v>53,00</v>
      </c>
      <c r="CJ176" s="4" t="str">
        <f>"2024-2026"</f>
        <v>2024-2026</v>
      </c>
    </row>
    <row r="177" spans="1:88" ht="11.25" customHeight="1">
      <c r="A177" s="45" t="str">
        <f>"24.164"</f>
        <v>24.164</v>
      </c>
      <c r="B177" s="46" t="str">
        <f>"г. Харовск, ул.Мирная, д.11"</f>
        <v>г. Харовск, ул.Мирная, д.11</v>
      </c>
      <c r="C177" s="6" t="str">
        <f>"1991"</f>
        <v>1991</v>
      </c>
      <c r="D177" s="4" t="str">
        <f>"1991"</f>
        <v>1991</v>
      </c>
      <c r="E177" s="4" t="str">
        <f>"30,00"</f>
        <v>30,00</v>
      </c>
      <c r="F177" s="4" t="str">
        <f>"2034-2036"</f>
        <v>2034-2036</v>
      </c>
      <c r="G177" s="4" t="str">
        <f t="shared" si="191"/>
        <v>нет</v>
      </c>
      <c r="H177" s="4" t="str">
        <f>""</f>
        <v/>
      </c>
      <c r="I177" s="4" t="str">
        <f>""</f>
        <v/>
      </c>
      <c r="J177" s="4" t="str">
        <f>""</f>
        <v/>
      </c>
      <c r="K177" s="4" t="str">
        <f t="shared" si="151"/>
        <v>нет</v>
      </c>
      <c r="L177" s="4" t="str">
        <f>""</f>
        <v/>
      </c>
      <c r="M177" s="4" t="str">
        <f>""</f>
        <v/>
      </c>
      <c r="N177" s="4" t="str">
        <f>""</f>
        <v/>
      </c>
      <c r="O177" s="7" t="str">
        <f t="shared" si="198"/>
        <v>х</v>
      </c>
      <c r="P177" s="4" t="str">
        <f t="shared" si="198"/>
        <v>х</v>
      </c>
      <c r="Q177" s="4" t="str">
        <f t="shared" si="198"/>
        <v>х</v>
      </c>
      <c r="R177" s="4" t="str">
        <f t="shared" si="198"/>
        <v>х</v>
      </c>
      <c r="S177" s="4" t="str">
        <f t="shared" si="198"/>
        <v>х</v>
      </c>
      <c r="T177" s="4" t="str">
        <f t="shared" si="198"/>
        <v>х</v>
      </c>
      <c r="U177" s="4" t="str">
        <f t="shared" si="198"/>
        <v>х</v>
      </c>
      <c r="V177" s="4" t="str">
        <f t="shared" si="198"/>
        <v>х</v>
      </c>
      <c r="W177" s="4" t="str">
        <f t="shared" si="198"/>
        <v>х</v>
      </c>
      <c r="X177" s="4" t="str">
        <f t="shared" si="198"/>
        <v>х</v>
      </c>
      <c r="Y177" s="8" t="str">
        <f t="shared" si="199"/>
        <v>х</v>
      </c>
      <c r="Z177" s="4" t="str">
        <f t="shared" si="199"/>
        <v>х</v>
      </c>
      <c r="AA177" s="4" t="str">
        <f t="shared" si="199"/>
        <v>х</v>
      </c>
      <c r="AB177" s="4" t="str">
        <f t="shared" si="199"/>
        <v>х</v>
      </c>
      <c r="AC177" s="4" t="str">
        <f t="shared" si="199"/>
        <v>х</v>
      </c>
      <c r="AD177" s="4" t="str">
        <f t="shared" si="199"/>
        <v>х</v>
      </c>
      <c r="AE177" s="4" t="str">
        <f t="shared" si="199"/>
        <v>х</v>
      </c>
      <c r="AF177" s="4" t="str">
        <f t="shared" si="199"/>
        <v>х</v>
      </c>
      <c r="AG177" s="4" t="str">
        <f t="shared" si="199"/>
        <v>х</v>
      </c>
      <c r="AH177" s="4" t="str">
        <f t="shared" si="199"/>
        <v>х</v>
      </c>
      <c r="AI177" s="4" t="str">
        <f t="shared" si="200"/>
        <v>х</v>
      </c>
      <c r="AJ177" s="4" t="str">
        <f t="shared" si="200"/>
        <v>х</v>
      </c>
      <c r="AK177" s="7" t="str">
        <f t="shared" si="200"/>
        <v>х</v>
      </c>
      <c r="AL177" s="4" t="str">
        <f t="shared" si="200"/>
        <v>х</v>
      </c>
      <c r="AM177" s="4" t="str">
        <f t="shared" si="200"/>
        <v>х</v>
      </c>
      <c r="AN177" s="4" t="str">
        <f t="shared" si="200"/>
        <v>х</v>
      </c>
      <c r="AO177" s="4" t="str">
        <f t="shared" si="200"/>
        <v>х</v>
      </c>
      <c r="AP177" s="4" t="str">
        <f t="shared" si="200"/>
        <v>х</v>
      </c>
      <c r="AQ177" s="4" t="str">
        <f t="shared" si="200"/>
        <v>х</v>
      </c>
      <c r="AR177" s="4" t="str">
        <f t="shared" si="200"/>
        <v>х</v>
      </c>
      <c r="AS177" s="4" t="str">
        <f t="shared" si="200"/>
        <v>х</v>
      </c>
      <c r="AT177" s="4" t="str">
        <f t="shared" si="200"/>
        <v>х</v>
      </c>
      <c r="AU177" s="4" t="str">
        <f t="shared" si="200"/>
        <v>х</v>
      </c>
      <c r="AV177" s="4" t="str">
        <f t="shared" si="190"/>
        <v>х</v>
      </c>
      <c r="AW177" s="4" t="str">
        <f t="shared" si="190"/>
        <v>х</v>
      </c>
      <c r="AX177" s="4" t="str">
        <f t="shared" si="190"/>
        <v>х</v>
      </c>
      <c r="AY177" s="4" t="str">
        <f t="shared" si="190"/>
        <v>х</v>
      </c>
      <c r="AZ177" s="4" t="str">
        <f t="shared" si="190"/>
        <v>х</v>
      </c>
      <c r="BA177" s="4" t="str">
        <f t="shared" si="190"/>
        <v>х</v>
      </c>
      <c r="BB177" s="4" t="str">
        <f t="shared" si="190"/>
        <v>х</v>
      </c>
      <c r="BC177" s="4" t="str">
        <f t="shared" si="190"/>
        <v>х</v>
      </c>
      <c r="BD177" s="4" t="str">
        <f t="shared" si="190"/>
        <v>х</v>
      </c>
      <c r="BE177" s="4" t="str">
        <f t="shared" si="190"/>
        <v>х</v>
      </c>
      <c r="BF177" s="4" t="str">
        <f t="shared" si="190"/>
        <v>х</v>
      </c>
      <c r="BG177" s="4" t="str">
        <f t="shared" si="201"/>
        <v>х</v>
      </c>
      <c r="BH177" s="4" t="str">
        <f t="shared" si="201"/>
        <v>х</v>
      </c>
      <c r="BI177" s="4" t="str">
        <f t="shared" si="201"/>
        <v>х</v>
      </c>
      <c r="BJ177" s="4" t="str">
        <f t="shared" si="201"/>
        <v>х</v>
      </c>
      <c r="BK177" s="4" t="str">
        <f t="shared" si="201"/>
        <v>х</v>
      </c>
      <c r="BL177" s="4" t="str">
        <f t="shared" si="201"/>
        <v>х</v>
      </c>
      <c r="BM177" s="4" t="str">
        <f t="shared" si="201"/>
        <v>х</v>
      </c>
      <c r="BN177" s="4" t="str">
        <f t="shared" si="201"/>
        <v>х</v>
      </c>
      <c r="BO177" s="4" t="str">
        <f t="shared" si="201"/>
        <v>х</v>
      </c>
      <c r="BP177" s="4" t="str">
        <f t="shared" si="201"/>
        <v>х</v>
      </c>
      <c r="BQ177" s="4" t="str">
        <f t="shared" si="201"/>
        <v>х</v>
      </c>
      <c r="BR177" s="4" t="str">
        <f>"1991"</f>
        <v>1991</v>
      </c>
      <c r="BS177" s="4" t="str">
        <f>"30,00"</f>
        <v>30,00</v>
      </c>
      <c r="BT177" s="4" t="str">
        <f>"2034-2036"</f>
        <v>2034-2036</v>
      </c>
      <c r="BU177" s="4" t="str">
        <f t="shared" si="153"/>
        <v>нет</v>
      </c>
      <c r="BV177" s="4" t="str">
        <f t="shared" si="197"/>
        <v>x</v>
      </c>
      <c r="BW177" s="4" t="str">
        <f t="shared" si="197"/>
        <v>x</v>
      </c>
      <c r="BX177" s="4" t="str">
        <f t="shared" si="197"/>
        <v>x</v>
      </c>
      <c r="BY177" s="4" t="str">
        <f t="shared" si="192"/>
        <v>нет</v>
      </c>
      <c r="BZ177" s="4" t="str">
        <f t="shared" si="193"/>
        <v>x</v>
      </c>
      <c r="CA177" s="4" t="str">
        <f t="shared" si="193"/>
        <v>x</v>
      </c>
      <c r="CB177" s="4" t="str">
        <f t="shared" si="193"/>
        <v>x</v>
      </c>
      <c r="CC177" s="4" t="str">
        <f>"1991"</f>
        <v>1991</v>
      </c>
      <c r="CD177" s="4" t="str">
        <f>"20,00"</f>
        <v>20,00</v>
      </c>
      <c r="CE177" s="4" t="str">
        <f>"2034-2036"</f>
        <v>2034-2036</v>
      </c>
      <c r="CF177" s="4" t="str">
        <f>"1991"</f>
        <v>1991</v>
      </c>
      <c r="CG177" s="4" t="str">
        <f>"5,00"</f>
        <v>5,00</v>
      </c>
      <c r="CH177" s="4" t="str">
        <f>"2034-2036"</f>
        <v>2034-2036</v>
      </c>
      <c r="CI177" s="4" t="str">
        <f>"21,00"</f>
        <v>21,00</v>
      </c>
      <c r="CJ177" s="4" t="str">
        <f>"2034-2036"</f>
        <v>2034-2036</v>
      </c>
    </row>
    <row r="178" spans="1:88" ht="11.25" customHeight="1">
      <c r="A178" s="45" t="str">
        <f>"24.165"</f>
        <v>24.165</v>
      </c>
      <c r="B178" s="46" t="str">
        <f>"г. Харовск, ул.Мирная, д.2"</f>
        <v>г. Харовск, ул.Мирная, д.2</v>
      </c>
      <c r="C178" s="6" t="str">
        <f>"1994"</f>
        <v>1994</v>
      </c>
      <c r="D178" s="4" t="str">
        <f>"1994"</f>
        <v>1994</v>
      </c>
      <c r="E178" s="4" t="str">
        <f>"30,00"</f>
        <v>30,00</v>
      </c>
      <c r="F178" s="4" t="str">
        <f>"2035-2037"</f>
        <v>2035-2037</v>
      </c>
      <c r="G178" s="4" t="str">
        <f t="shared" si="191"/>
        <v>нет</v>
      </c>
      <c r="H178" s="4" t="str">
        <f>""</f>
        <v/>
      </c>
      <c r="I178" s="4" t="str">
        <f>""</f>
        <v/>
      </c>
      <c r="J178" s="4" t="str">
        <f>""</f>
        <v/>
      </c>
      <c r="K178" s="4" t="str">
        <f t="shared" si="151"/>
        <v>нет</v>
      </c>
      <c r="L178" s="4" t="str">
        <f>""</f>
        <v/>
      </c>
      <c r="M178" s="4" t="str">
        <f>""</f>
        <v/>
      </c>
      <c r="N178" s="4" t="str">
        <f>""</f>
        <v/>
      </c>
      <c r="O178" s="7" t="str">
        <f t="shared" si="198"/>
        <v>х</v>
      </c>
      <c r="P178" s="4" t="str">
        <f t="shared" si="198"/>
        <v>х</v>
      </c>
      <c r="Q178" s="4" t="str">
        <f t="shared" si="198"/>
        <v>х</v>
      </c>
      <c r="R178" s="4" t="str">
        <f t="shared" si="198"/>
        <v>х</v>
      </c>
      <c r="S178" s="4" t="str">
        <f t="shared" si="198"/>
        <v>х</v>
      </c>
      <c r="T178" s="4" t="str">
        <f t="shared" si="198"/>
        <v>х</v>
      </c>
      <c r="U178" s="4" t="str">
        <f t="shared" si="198"/>
        <v>х</v>
      </c>
      <c r="V178" s="4" t="str">
        <f t="shared" si="198"/>
        <v>х</v>
      </c>
      <c r="W178" s="4" t="str">
        <f t="shared" si="198"/>
        <v>х</v>
      </c>
      <c r="X178" s="4" t="str">
        <f t="shared" si="198"/>
        <v>х</v>
      </c>
      <c r="Y178" s="8" t="str">
        <f t="shared" si="199"/>
        <v>х</v>
      </c>
      <c r="Z178" s="4" t="str">
        <f t="shared" si="199"/>
        <v>х</v>
      </c>
      <c r="AA178" s="4" t="str">
        <f t="shared" si="199"/>
        <v>х</v>
      </c>
      <c r="AB178" s="4" t="str">
        <f t="shared" si="199"/>
        <v>х</v>
      </c>
      <c r="AC178" s="4" t="str">
        <f t="shared" si="199"/>
        <v>х</v>
      </c>
      <c r="AD178" s="4" t="str">
        <f t="shared" si="199"/>
        <v>х</v>
      </c>
      <c r="AE178" s="4" t="str">
        <f t="shared" si="199"/>
        <v>х</v>
      </c>
      <c r="AF178" s="4" t="str">
        <f t="shared" si="199"/>
        <v>х</v>
      </c>
      <c r="AG178" s="4" t="str">
        <f t="shared" si="199"/>
        <v>х</v>
      </c>
      <c r="AH178" s="4" t="str">
        <f t="shared" si="199"/>
        <v>х</v>
      </c>
      <c r="AI178" s="4" t="str">
        <f t="shared" si="200"/>
        <v>х</v>
      </c>
      <c r="AJ178" s="4" t="str">
        <f t="shared" si="200"/>
        <v>х</v>
      </c>
      <c r="AK178" s="7" t="str">
        <f t="shared" si="200"/>
        <v>х</v>
      </c>
      <c r="AL178" s="4" t="str">
        <f t="shared" si="200"/>
        <v>х</v>
      </c>
      <c r="AM178" s="4" t="str">
        <f t="shared" si="200"/>
        <v>х</v>
      </c>
      <c r="AN178" s="4" t="str">
        <f t="shared" si="200"/>
        <v>х</v>
      </c>
      <c r="AO178" s="4" t="str">
        <f t="shared" si="200"/>
        <v>х</v>
      </c>
      <c r="AP178" s="4" t="str">
        <f t="shared" si="200"/>
        <v>х</v>
      </c>
      <c r="AQ178" s="4" t="str">
        <f t="shared" si="200"/>
        <v>х</v>
      </c>
      <c r="AR178" s="4" t="str">
        <f t="shared" si="200"/>
        <v>х</v>
      </c>
      <c r="AS178" s="4" t="str">
        <f t="shared" si="200"/>
        <v>х</v>
      </c>
      <c r="AT178" s="4" t="str">
        <f t="shared" si="200"/>
        <v>х</v>
      </c>
      <c r="AU178" s="4" t="str">
        <f t="shared" si="200"/>
        <v>х</v>
      </c>
      <c r="AV178" s="4" t="str">
        <f t="shared" si="190"/>
        <v>х</v>
      </c>
      <c r="AW178" s="4" t="str">
        <f t="shared" si="190"/>
        <v>х</v>
      </c>
      <c r="AX178" s="4" t="str">
        <f t="shared" si="190"/>
        <v>х</v>
      </c>
      <c r="AY178" s="4" t="str">
        <f t="shared" si="190"/>
        <v>х</v>
      </c>
      <c r="AZ178" s="4" t="str">
        <f t="shared" si="190"/>
        <v>х</v>
      </c>
      <c r="BA178" s="4" t="str">
        <f t="shared" si="190"/>
        <v>х</v>
      </c>
      <c r="BB178" s="4" t="str">
        <f t="shared" si="190"/>
        <v>х</v>
      </c>
      <c r="BC178" s="4" t="str">
        <f t="shared" si="190"/>
        <v>х</v>
      </c>
      <c r="BD178" s="4" t="str">
        <f t="shared" si="190"/>
        <v>х</v>
      </c>
      <c r="BE178" s="4" t="str">
        <f t="shared" si="190"/>
        <v>х</v>
      </c>
      <c r="BF178" s="4" t="str">
        <f t="shared" si="190"/>
        <v>х</v>
      </c>
      <c r="BG178" s="4" t="str">
        <f t="shared" si="201"/>
        <v>х</v>
      </c>
      <c r="BH178" s="4" t="str">
        <f t="shared" si="201"/>
        <v>х</v>
      </c>
      <c r="BI178" s="4" t="str">
        <f t="shared" si="201"/>
        <v>х</v>
      </c>
      <c r="BJ178" s="4" t="str">
        <f t="shared" si="201"/>
        <v>х</v>
      </c>
      <c r="BK178" s="4" t="str">
        <f t="shared" si="201"/>
        <v>х</v>
      </c>
      <c r="BL178" s="4" t="str">
        <f t="shared" si="201"/>
        <v>х</v>
      </c>
      <c r="BM178" s="4" t="str">
        <f t="shared" si="201"/>
        <v>х</v>
      </c>
      <c r="BN178" s="4" t="str">
        <f t="shared" si="201"/>
        <v>х</v>
      </c>
      <c r="BO178" s="4" t="str">
        <f t="shared" si="201"/>
        <v>х</v>
      </c>
      <c r="BP178" s="4" t="str">
        <f t="shared" si="201"/>
        <v>х</v>
      </c>
      <c r="BQ178" s="4" t="str">
        <f t="shared" si="201"/>
        <v>х</v>
      </c>
      <c r="BR178" s="4" t="str">
        <f>"1994"</f>
        <v>1994</v>
      </c>
      <c r="BS178" s="4" t="str">
        <f>"20,00"</f>
        <v>20,00</v>
      </c>
      <c r="BT178" s="4" t="str">
        <f>"2035-2037"</f>
        <v>2035-2037</v>
      </c>
      <c r="BU178" s="4" t="str">
        <f t="shared" si="153"/>
        <v>нет</v>
      </c>
      <c r="BV178" s="4" t="str">
        <f t="shared" si="197"/>
        <v>x</v>
      </c>
      <c r="BW178" s="4" t="str">
        <f t="shared" si="197"/>
        <v>x</v>
      </c>
      <c r="BX178" s="4" t="str">
        <f t="shared" si="197"/>
        <v>x</v>
      </c>
      <c r="BY178" s="4" t="str">
        <f t="shared" si="192"/>
        <v>нет</v>
      </c>
      <c r="BZ178" s="4" t="str">
        <f t="shared" si="193"/>
        <v>x</v>
      </c>
      <c r="CA178" s="4" t="str">
        <f t="shared" si="193"/>
        <v>x</v>
      </c>
      <c r="CB178" s="4" t="str">
        <f t="shared" si="193"/>
        <v>x</v>
      </c>
      <c r="CC178" s="4" t="str">
        <f>"1994"</f>
        <v>1994</v>
      </c>
      <c r="CD178" s="4" t="str">
        <f>"20,00"</f>
        <v>20,00</v>
      </c>
      <c r="CE178" s="4" t="str">
        <f>"2035-2037"</f>
        <v>2035-2037</v>
      </c>
      <c r="CF178" s="4" t="str">
        <f>"1994"</f>
        <v>1994</v>
      </c>
      <c r="CG178" s="4" t="str">
        <f>"5,00"</f>
        <v>5,00</v>
      </c>
      <c r="CH178" s="4" t="str">
        <f>"2035-2037"</f>
        <v>2035-2037</v>
      </c>
      <c r="CI178" s="4" t="str">
        <f>"17,00"</f>
        <v>17,00</v>
      </c>
      <c r="CJ178" s="4" t="str">
        <f>"2035-2037"</f>
        <v>2035-2037</v>
      </c>
    </row>
    <row r="179" spans="1:88" ht="11.25" customHeight="1">
      <c r="A179" s="45" t="str">
        <f>"24.166"</f>
        <v>24.166</v>
      </c>
      <c r="B179" s="46" t="str">
        <f>"г. Харовск, ул.Мирная, д.4"</f>
        <v>г. Харовск, ул.Мирная, д.4</v>
      </c>
      <c r="C179" s="6" t="str">
        <f>"1992"</f>
        <v>1992</v>
      </c>
      <c r="D179" s="4" t="str">
        <f>"1992"</f>
        <v>1992</v>
      </c>
      <c r="E179" s="4" t="str">
        <f>"30,00"</f>
        <v>30,00</v>
      </c>
      <c r="F179" s="4" t="str">
        <f>"2035-2037"</f>
        <v>2035-2037</v>
      </c>
      <c r="G179" s="4" t="str">
        <f t="shared" si="191"/>
        <v>нет</v>
      </c>
      <c r="H179" s="4" t="str">
        <f>""</f>
        <v/>
      </c>
      <c r="I179" s="4" t="str">
        <f>""</f>
        <v/>
      </c>
      <c r="J179" s="4" t="str">
        <f>""</f>
        <v/>
      </c>
      <c r="K179" s="4" t="str">
        <f t="shared" si="151"/>
        <v>нет</v>
      </c>
      <c r="L179" s="4" t="str">
        <f>""</f>
        <v/>
      </c>
      <c r="M179" s="4" t="str">
        <f>""</f>
        <v/>
      </c>
      <c r="N179" s="4" t="str">
        <f>""</f>
        <v/>
      </c>
      <c r="O179" s="7" t="str">
        <f t="shared" si="198"/>
        <v>х</v>
      </c>
      <c r="P179" s="4" t="str">
        <f t="shared" si="198"/>
        <v>х</v>
      </c>
      <c r="Q179" s="4" t="str">
        <f t="shared" si="198"/>
        <v>х</v>
      </c>
      <c r="R179" s="4" t="str">
        <f t="shared" si="198"/>
        <v>х</v>
      </c>
      <c r="S179" s="4" t="str">
        <f t="shared" si="198"/>
        <v>х</v>
      </c>
      <c r="T179" s="4" t="str">
        <f t="shared" si="198"/>
        <v>х</v>
      </c>
      <c r="U179" s="4" t="str">
        <f t="shared" si="198"/>
        <v>х</v>
      </c>
      <c r="V179" s="4" t="str">
        <f t="shared" si="198"/>
        <v>х</v>
      </c>
      <c r="W179" s="4" t="str">
        <f t="shared" si="198"/>
        <v>х</v>
      </c>
      <c r="X179" s="4" t="str">
        <f t="shared" si="198"/>
        <v>х</v>
      </c>
      <c r="Y179" s="8" t="str">
        <f t="shared" si="199"/>
        <v>х</v>
      </c>
      <c r="Z179" s="4" t="str">
        <f t="shared" si="199"/>
        <v>х</v>
      </c>
      <c r="AA179" s="4" t="str">
        <f t="shared" si="199"/>
        <v>х</v>
      </c>
      <c r="AB179" s="4" t="str">
        <f t="shared" si="199"/>
        <v>х</v>
      </c>
      <c r="AC179" s="4" t="str">
        <f t="shared" si="199"/>
        <v>х</v>
      </c>
      <c r="AD179" s="4" t="str">
        <f t="shared" si="199"/>
        <v>х</v>
      </c>
      <c r="AE179" s="4" t="str">
        <f t="shared" si="199"/>
        <v>х</v>
      </c>
      <c r="AF179" s="4" t="str">
        <f t="shared" si="199"/>
        <v>х</v>
      </c>
      <c r="AG179" s="4" t="str">
        <f t="shared" si="199"/>
        <v>х</v>
      </c>
      <c r="AH179" s="4" t="str">
        <f t="shared" si="199"/>
        <v>х</v>
      </c>
      <c r="AI179" s="4" t="str">
        <f t="shared" si="200"/>
        <v>х</v>
      </c>
      <c r="AJ179" s="4" t="str">
        <f t="shared" si="200"/>
        <v>х</v>
      </c>
      <c r="AK179" s="7" t="str">
        <f t="shared" si="200"/>
        <v>х</v>
      </c>
      <c r="AL179" s="4" t="str">
        <f t="shared" si="200"/>
        <v>х</v>
      </c>
      <c r="AM179" s="4" t="str">
        <f t="shared" si="200"/>
        <v>х</v>
      </c>
      <c r="AN179" s="4" t="str">
        <f t="shared" si="200"/>
        <v>х</v>
      </c>
      <c r="AO179" s="4" t="str">
        <f t="shared" si="200"/>
        <v>х</v>
      </c>
      <c r="AP179" s="4" t="str">
        <f t="shared" si="200"/>
        <v>х</v>
      </c>
      <c r="AQ179" s="4" t="str">
        <f t="shared" si="200"/>
        <v>х</v>
      </c>
      <c r="AR179" s="4" t="str">
        <f t="shared" si="200"/>
        <v>х</v>
      </c>
      <c r="AS179" s="4" t="str">
        <f t="shared" si="200"/>
        <v>х</v>
      </c>
      <c r="AT179" s="4" t="str">
        <f t="shared" si="200"/>
        <v>х</v>
      </c>
      <c r="AU179" s="4" t="str">
        <f t="shared" si="200"/>
        <v>х</v>
      </c>
      <c r="AV179" s="4" t="str">
        <f t="shared" si="190"/>
        <v>х</v>
      </c>
      <c r="AW179" s="4" t="str">
        <f t="shared" si="190"/>
        <v>х</v>
      </c>
      <c r="AX179" s="4" t="str">
        <f t="shared" si="190"/>
        <v>х</v>
      </c>
      <c r="AY179" s="4" t="str">
        <f t="shared" si="190"/>
        <v>х</v>
      </c>
      <c r="AZ179" s="4" t="str">
        <f t="shared" si="190"/>
        <v>х</v>
      </c>
      <c r="BA179" s="4" t="str">
        <f t="shared" si="190"/>
        <v>х</v>
      </c>
      <c r="BB179" s="4" t="str">
        <f t="shared" si="190"/>
        <v>х</v>
      </c>
      <c r="BC179" s="4" t="str">
        <f t="shared" si="190"/>
        <v>х</v>
      </c>
      <c r="BD179" s="4" t="str">
        <f t="shared" si="190"/>
        <v>х</v>
      </c>
      <c r="BE179" s="4" t="str">
        <f t="shared" si="190"/>
        <v>х</v>
      </c>
      <c r="BF179" s="4" t="str">
        <f t="shared" si="190"/>
        <v>х</v>
      </c>
      <c r="BG179" s="4" t="str">
        <f t="shared" si="201"/>
        <v>х</v>
      </c>
      <c r="BH179" s="4" t="str">
        <f t="shared" si="201"/>
        <v>х</v>
      </c>
      <c r="BI179" s="4" t="str">
        <f t="shared" si="201"/>
        <v>х</v>
      </c>
      <c r="BJ179" s="4" t="str">
        <f t="shared" si="201"/>
        <v>х</v>
      </c>
      <c r="BK179" s="4" t="str">
        <f t="shared" si="201"/>
        <v>х</v>
      </c>
      <c r="BL179" s="4" t="str">
        <f t="shared" si="201"/>
        <v>х</v>
      </c>
      <c r="BM179" s="4" t="str">
        <f t="shared" si="201"/>
        <v>х</v>
      </c>
      <c r="BN179" s="4" t="str">
        <f t="shared" si="201"/>
        <v>х</v>
      </c>
      <c r="BO179" s="4" t="str">
        <f t="shared" si="201"/>
        <v>х</v>
      </c>
      <c r="BP179" s="4" t="str">
        <f t="shared" si="201"/>
        <v>х</v>
      </c>
      <c r="BQ179" s="4" t="str">
        <f t="shared" si="201"/>
        <v>х</v>
      </c>
      <c r="BR179" s="4" t="str">
        <f>"1992"</f>
        <v>1992</v>
      </c>
      <c r="BS179" s="4" t="str">
        <f>"20,00"</f>
        <v>20,00</v>
      </c>
      <c r="BT179" s="4" t="str">
        <f>"2035-2037"</f>
        <v>2035-2037</v>
      </c>
      <c r="BU179" s="4" t="str">
        <f t="shared" si="153"/>
        <v>нет</v>
      </c>
      <c r="BV179" s="4" t="str">
        <f t="shared" si="197"/>
        <v>x</v>
      </c>
      <c r="BW179" s="4" t="str">
        <f t="shared" si="197"/>
        <v>x</v>
      </c>
      <c r="BX179" s="4" t="str">
        <f t="shared" si="197"/>
        <v>x</v>
      </c>
      <c r="BY179" s="4" t="str">
        <f t="shared" si="192"/>
        <v>нет</v>
      </c>
      <c r="BZ179" s="4" t="str">
        <f t="shared" si="193"/>
        <v>x</v>
      </c>
      <c r="CA179" s="4" t="str">
        <f t="shared" si="193"/>
        <v>x</v>
      </c>
      <c r="CB179" s="4" t="str">
        <f t="shared" si="193"/>
        <v>x</v>
      </c>
      <c r="CC179" s="4" t="str">
        <f>"1992"</f>
        <v>1992</v>
      </c>
      <c r="CD179" s="4" t="str">
        <f>"10,00"</f>
        <v>10,00</v>
      </c>
      <c r="CE179" s="4" t="str">
        <f>"2035-2037"</f>
        <v>2035-2037</v>
      </c>
      <c r="CF179" s="4" t="str">
        <f>"1992"</f>
        <v>1992</v>
      </c>
      <c r="CG179" s="4" t="str">
        <f>"5,00"</f>
        <v>5,00</v>
      </c>
      <c r="CH179" s="4" t="str">
        <f>"2035-2037"</f>
        <v>2035-2037</v>
      </c>
      <c r="CI179" s="4" t="str">
        <f>"17,00"</f>
        <v>17,00</v>
      </c>
      <c r="CJ179" s="4" t="str">
        <f>"2035-2037"</f>
        <v>2035-2037</v>
      </c>
    </row>
    <row r="180" spans="1:88" ht="11.25" customHeight="1">
      <c r="A180" s="45" t="str">
        <f>"24.167"</f>
        <v>24.167</v>
      </c>
      <c r="B180" s="46" t="str">
        <f>"г. Харовск, ул.Мирная, д.6"</f>
        <v>г. Харовск, ул.Мирная, д.6</v>
      </c>
      <c r="C180" s="6" t="str">
        <f>"1990"</f>
        <v>1990</v>
      </c>
      <c r="D180" s="4" t="str">
        <f>"1990"</f>
        <v>1990</v>
      </c>
      <c r="E180" s="4" t="str">
        <f>"40,00"</f>
        <v>40,00</v>
      </c>
      <c r="F180" s="4" t="str">
        <f>"2034-2036"</f>
        <v>2034-2036</v>
      </c>
      <c r="G180" s="4" t="str">
        <f t="shared" si="191"/>
        <v>нет</v>
      </c>
      <c r="H180" s="4" t="str">
        <f>""</f>
        <v/>
      </c>
      <c r="I180" s="4" t="str">
        <f>""</f>
        <v/>
      </c>
      <c r="J180" s="4" t="str">
        <f>""</f>
        <v/>
      </c>
      <c r="K180" s="4" t="str">
        <f t="shared" si="151"/>
        <v>нет</v>
      </c>
      <c r="L180" s="4" t="str">
        <f>""</f>
        <v/>
      </c>
      <c r="M180" s="4" t="str">
        <f>""</f>
        <v/>
      </c>
      <c r="N180" s="4" t="str">
        <f>""</f>
        <v/>
      </c>
      <c r="O180" s="7" t="str">
        <f t="shared" si="198"/>
        <v>х</v>
      </c>
      <c r="P180" s="4" t="str">
        <f t="shared" si="198"/>
        <v>х</v>
      </c>
      <c r="Q180" s="4" t="str">
        <f t="shared" si="198"/>
        <v>х</v>
      </c>
      <c r="R180" s="4" t="str">
        <f t="shared" si="198"/>
        <v>х</v>
      </c>
      <c r="S180" s="4" t="str">
        <f t="shared" si="198"/>
        <v>х</v>
      </c>
      <c r="T180" s="4" t="str">
        <f t="shared" si="198"/>
        <v>х</v>
      </c>
      <c r="U180" s="4" t="str">
        <f t="shared" si="198"/>
        <v>х</v>
      </c>
      <c r="V180" s="4" t="str">
        <f t="shared" si="198"/>
        <v>х</v>
      </c>
      <c r="W180" s="4" t="str">
        <f t="shared" si="198"/>
        <v>х</v>
      </c>
      <c r="X180" s="4" t="str">
        <f t="shared" si="198"/>
        <v>х</v>
      </c>
      <c r="Y180" s="8" t="str">
        <f t="shared" si="199"/>
        <v>х</v>
      </c>
      <c r="Z180" s="4" t="str">
        <f t="shared" si="199"/>
        <v>х</v>
      </c>
      <c r="AA180" s="4" t="str">
        <f t="shared" si="199"/>
        <v>х</v>
      </c>
      <c r="AB180" s="4" t="str">
        <f t="shared" si="199"/>
        <v>х</v>
      </c>
      <c r="AC180" s="4" t="str">
        <f t="shared" si="199"/>
        <v>х</v>
      </c>
      <c r="AD180" s="4" t="str">
        <f t="shared" si="199"/>
        <v>х</v>
      </c>
      <c r="AE180" s="4" t="str">
        <f t="shared" si="199"/>
        <v>х</v>
      </c>
      <c r="AF180" s="4" t="str">
        <f t="shared" si="199"/>
        <v>х</v>
      </c>
      <c r="AG180" s="4" t="str">
        <f t="shared" si="199"/>
        <v>х</v>
      </c>
      <c r="AH180" s="4" t="str">
        <f t="shared" si="199"/>
        <v>х</v>
      </c>
      <c r="AI180" s="4" t="str">
        <f t="shared" si="200"/>
        <v>х</v>
      </c>
      <c r="AJ180" s="4" t="str">
        <f t="shared" si="200"/>
        <v>х</v>
      </c>
      <c r="AK180" s="7" t="str">
        <f t="shared" si="200"/>
        <v>х</v>
      </c>
      <c r="AL180" s="4" t="str">
        <f t="shared" si="200"/>
        <v>х</v>
      </c>
      <c r="AM180" s="4" t="str">
        <f t="shared" si="200"/>
        <v>х</v>
      </c>
      <c r="AN180" s="4" t="str">
        <f t="shared" si="200"/>
        <v>х</v>
      </c>
      <c r="AO180" s="4" t="str">
        <f t="shared" si="200"/>
        <v>х</v>
      </c>
      <c r="AP180" s="4" t="str">
        <f t="shared" si="200"/>
        <v>х</v>
      </c>
      <c r="AQ180" s="4" t="str">
        <f t="shared" si="200"/>
        <v>х</v>
      </c>
      <c r="AR180" s="4" t="str">
        <f t="shared" si="200"/>
        <v>х</v>
      </c>
      <c r="AS180" s="4" t="str">
        <f t="shared" si="200"/>
        <v>х</v>
      </c>
      <c r="AT180" s="4" t="str">
        <f t="shared" si="200"/>
        <v>х</v>
      </c>
      <c r="AU180" s="4" t="str">
        <f t="shared" si="200"/>
        <v>х</v>
      </c>
      <c r="AV180" s="4" t="str">
        <f t="shared" si="190"/>
        <v>х</v>
      </c>
      <c r="AW180" s="4" t="str">
        <f t="shared" si="190"/>
        <v>х</v>
      </c>
      <c r="AX180" s="4" t="str">
        <f t="shared" si="190"/>
        <v>х</v>
      </c>
      <c r="AY180" s="4" t="str">
        <f t="shared" si="190"/>
        <v>х</v>
      </c>
      <c r="AZ180" s="4" t="str">
        <f t="shared" si="190"/>
        <v>х</v>
      </c>
      <c r="BA180" s="4" t="str">
        <f t="shared" si="190"/>
        <v>х</v>
      </c>
      <c r="BB180" s="4" t="str">
        <f t="shared" si="190"/>
        <v>х</v>
      </c>
      <c r="BC180" s="4" t="str">
        <f t="shared" si="190"/>
        <v>х</v>
      </c>
      <c r="BD180" s="4" t="str">
        <f t="shared" si="190"/>
        <v>х</v>
      </c>
      <c r="BE180" s="4" t="str">
        <f t="shared" si="190"/>
        <v>х</v>
      </c>
      <c r="BF180" s="4" t="str">
        <f t="shared" si="190"/>
        <v>х</v>
      </c>
      <c r="BG180" s="4" t="str">
        <f t="shared" si="201"/>
        <v>х</v>
      </c>
      <c r="BH180" s="4" t="str">
        <f t="shared" si="201"/>
        <v>х</v>
      </c>
      <c r="BI180" s="4" t="str">
        <f t="shared" si="201"/>
        <v>х</v>
      </c>
      <c r="BJ180" s="4" t="str">
        <f t="shared" si="201"/>
        <v>х</v>
      </c>
      <c r="BK180" s="4" t="str">
        <f t="shared" si="201"/>
        <v>х</v>
      </c>
      <c r="BL180" s="4" t="str">
        <f t="shared" si="201"/>
        <v>х</v>
      </c>
      <c r="BM180" s="4" t="str">
        <f t="shared" si="201"/>
        <v>х</v>
      </c>
      <c r="BN180" s="4" t="str">
        <f t="shared" si="201"/>
        <v>х</v>
      </c>
      <c r="BO180" s="4" t="str">
        <f t="shared" si="201"/>
        <v>х</v>
      </c>
      <c r="BP180" s="4" t="str">
        <f t="shared" si="201"/>
        <v>х</v>
      </c>
      <c r="BQ180" s="4" t="str">
        <f t="shared" si="201"/>
        <v>х</v>
      </c>
      <c r="BR180" s="4" t="str">
        <f>"1990"</f>
        <v>1990</v>
      </c>
      <c r="BS180" s="4" t="str">
        <f>"30,00"</f>
        <v>30,00</v>
      </c>
      <c r="BT180" s="4" t="str">
        <f>"2034-2036"</f>
        <v>2034-2036</v>
      </c>
      <c r="BU180" s="4" t="str">
        <f t="shared" si="153"/>
        <v>нет</v>
      </c>
      <c r="BV180" s="4" t="str">
        <f t="shared" si="197"/>
        <v>x</v>
      </c>
      <c r="BW180" s="4" t="str">
        <f t="shared" si="197"/>
        <v>x</v>
      </c>
      <c r="BX180" s="4" t="str">
        <f t="shared" si="197"/>
        <v>x</v>
      </c>
      <c r="BY180" s="4" t="str">
        <f t="shared" si="192"/>
        <v>нет</v>
      </c>
      <c r="BZ180" s="4" t="str">
        <f t="shared" si="193"/>
        <v>x</v>
      </c>
      <c r="CA180" s="4" t="str">
        <f t="shared" si="193"/>
        <v>x</v>
      </c>
      <c r="CB180" s="4" t="str">
        <f t="shared" si="193"/>
        <v>x</v>
      </c>
      <c r="CC180" s="4" t="str">
        <f>"1990"</f>
        <v>1990</v>
      </c>
      <c r="CD180" s="4" t="str">
        <f>"30,00"</f>
        <v>30,00</v>
      </c>
      <c r="CE180" s="4" t="str">
        <f>"2034-2036"</f>
        <v>2034-2036</v>
      </c>
      <c r="CF180" s="4" t="str">
        <f>"1990"</f>
        <v>1990</v>
      </c>
      <c r="CG180" s="4" t="str">
        <f>"15,00"</f>
        <v>15,00</v>
      </c>
      <c r="CH180" s="4" t="str">
        <f>"2034-2036"</f>
        <v>2034-2036</v>
      </c>
      <c r="CI180" s="4" t="str">
        <f>"31,00"</f>
        <v>31,00</v>
      </c>
      <c r="CJ180" s="4" t="str">
        <f>"2034-2036"</f>
        <v>2034-2036</v>
      </c>
    </row>
    <row r="181" spans="1:88" ht="11.25" customHeight="1">
      <c r="A181" s="45" t="str">
        <f>"24.168"</f>
        <v>24.168</v>
      </c>
      <c r="B181" s="46" t="str">
        <f>"г. Харовск, ул.Мирная, д.8"</f>
        <v>г. Харовск, ул.Мирная, д.8</v>
      </c>
      <c r="C181" s="6" t="str">
        <f>"1989"</f>
        <v>1989</v>
      </c>
      <c r="D181" s="4" t="str">
        <f>"1989"</f>
        <v>1989</v>
      </c>
      <c r="E181" s="4" t="str">
        <f>"40,00"</f>
        <v>40,00</v>
      </c>
      <c r="F181" s="4" t="str">
        <f>"2033-2035"</f>
        <v>2033-2035</v>
      </c>
      <c r="G181" s="4" t="str">
        <f t="shared" si="191"/>
        <v>нет</v>
      </c>
      <c r="H181" s="4" t="str">
        <f>""</f>
        <v/>
      </c>
      <c r="I181" s="4" t="str">
        <f>""</f>
        <v/>
      </c>
      <c r="J181" s="4" t="str">
        <f>""</f>
        <v/>
      </c>
      <c r="K181" s="4" t="str">
        <f t="shared" si="151"/>
        <v>нет</v>
      </c>
      <c r="L181" s="4" t="str">
        <f>""</f>
        <v/>
      </c>
      <c r="M181" s="4" t="str">
        <f>""</f>
        <v/>
      </c>
      <c r="N181" s="4" t="str">
        <f>""</f>
        <v/>
      </c>
      <c r="O181" s="7" t="str">
        <f t="shared" si="198"/>
        <v>х</v>
      </c>
      <c r="P181" s="4" t="str">
        <f t="shared" si="198"/>
        <v>х</v>
      </c>
      <c r="Q181" s="4" t="str">
        <f t="shared" si="198"/>
        <v>х</v>
      </c>
      <c r="R181" s="4" t="str">
        <f t="shared" si="198"/>
        <v>х</v>
      </c>
      <c r="S181" s="4" t="str">
        <f t="shared" si="198"/>
        <v>х</v>
      </c>
      <c r="T181" s="4" t="str">
        <f t="shared" si="198"/>
        <v>х</v>
      </c>
      <c r="U181" s="4" t="str">
        <f t="shared" si="198"/>
        <v>х</v>
      </c>
      <c r="V181" s="4" t="str">
        <f t="shared" si="198"/>
        <v>х</v>
      </c>
      <c r="W181" s="4" t="str">
        <f t="shared" si="198"/>
        <v>х</v>
      </c>
      <c r="X181" s="4" t="str">
        <f t="shared" si="198"/>
        <v>х</v>
      </c>
      <c r="Y181" s="8" t="str">
        <f t="shared" si="199"/>
        <v>х</v>
      </c>
      <c r="Z181" s="4" t="str">
        <f t="shared" si="199"/>
        <v>х</v>
      </c>
      <c r="AA181" s="4" t="str">
        <f t="shared" si="199"/>
        <v>х</v>
      </c>
      <c r="AB181" s="4" t="str">
        <f t="shared" si="199"/>
        <v>х</v>
      </c>
      <c r="AC181" s="4" t="str">
        <f t="shared" si="199"/>
        <v>х</v>
      </c>
      <c r="AD181" s="4" t="str">
        <f t="shared" si="199"/>
        <v>х</v>
      </c>
      <c r="AE181" s="4" t="str">
        <f t="shared" si="199"/>
        <v>х</v>
      </c>
      <c r="AF181" s="4" t="str">
        <f t="shared" si="199"/>
        <v>х</v>
      </c>
      <c r="AG181" s="4" t="str">
        <f t="shared" si="199"/>
        <v>х</v>
      </c>
      <c r="AH181" s="4" t="str">
        <f t="shared" si="199"/>
        <v>х</v>
      </c>
      <c r="AI181" s="4" t="str">
        <f t="shared" si="200"/>
        <v>х</v>
      </c>
      <c r="AJ181" s="4" t="str">
        <f t="shared" si="200"/>
        <v>х</v>
      </c>
      <c r="AK181" s="7" t="str">
        <f t="shared" si="200"/>
        <v>х</v>
      </c>
      <c r="AL181" s="4" t="str">
        <f t="shared" si="200"/>
        <v>х</v>
      </c>
      <c r="AM181" s="4" t="str">
        <f t="shared" si="200"/>
        <v>х</v>
      </c>
      <c r="AN181" s="4" t="str">
        <f t="shared" si="200"/>
        <v>х</v>
      </c>
      <c r="AO181" s="4" t="str">
        <f t="shared" si="200"/>
        <v>х</v>
      </c>
      <c r="AP181" s="4" t="str">
        <f t="shared" si="200"/>
        <v>х</v>
      </c>
      <c r="AQ181" s="4" t="str">
        <f t="shared" si="200"/>
        <v>х</v>
      </c>
      <c r="AR181" s="4" t="str">
        <f t="shared" si="200"/>
        <v>х</v>
      </c>
      <c r="AS181" s="4" t="str">
        <f t="shared" si="200"/>
        <v>х</v>
      </c>
      <c r="AT181" s="4" t="str">
        <f t="shared" si="200"/>
        <v>х</v>
      </c>
      <c r="AU181" s="4" t="str">
        <f t="shared" si="200"/>
        <v>х</v>
      </c>
      <c r="AV181" s="4" t="str">
        <f t="shared" si="190"/>
        <v>х</v>
      </c>
      <c r="AW181" s="4" t="str">
        <f t="shared" si="190"/>
        <v>х</v>
      </c>
      <c r="AX181" s="4" t="str">
        <f t="shared" si="190"/>
        <v>х</v>
      </c>
      <c r="AY181" s="4" t="str">
        <f t="shared" si="190"/>
        <v>х</v>
      </c>
      <c r="AZ181" s="4" t="str">
        <f t="shared" si="190"/>
        <v>х</v>
      </c>
      <c r="BA181" s="4" t="str">
        <f t="shared" si="190"/>
        <v>х</v>
      </c>
      <c r="BB181" s="4" t="str">
        <f t="shared" si="190"/>
        <v>х</v>
      </c>
      <c r="BC181" s="4" t="str">
        <f t="shared" si="190"/>
        <v>х</v>
      </c>
      <c r="BD181" s="4" t="str">
        <f t="shared" si="190"/>
        <v>х</v>
      </c>
      <c r="BE181" s="4" t="str">
        <f t="shared" si="190"/>
        <v>х</v>
      </c>
      <c r="BF181" s="4" t="str">
        <f t="shared" si="190"/>
        <v>х</v>
      </c>
      <c r="BG181" s="4" t="str">
        <f t="shared" si="201"/>
        <v>х</v>
      </c>
      <c r="BH181" s="4" t="str">
        <f t="shared" si="201"/>
        <v>х</v>
      </c>
      <c r="BI181" s="4" t="str">
        <f t="shared" si="201"/>
        <v>х</v>
      </c>
      <c r="BJ181" s="4" t="str">
        <f t="shared" si="201"/>
        <v>х</v>
      </c>
      <c r="BK181" s="4" t="str">
        <f t="shared" si="201"/>
        <v>х</v>
      </c>
      <c r="BL181" s="4" t="str">
        <f t="shared" si="201"/>
        <v>х</v>
      </c>
      <c r="BM181" s="4" t="str">
        <f t="shared" si="201"/>
        <v>х</v>
      </c>
      <c r="BN181" s="4" t="str">
        <f t="shared" si="201"/>
        <v>х</v>
      </c>
      <c r="BO181" s="4" t="str">
        <f t="shared" si="201"/>
        <v>х</v>
      </c>
      <c r="BP181" s="4" t="str">
        <f t="shared" si="201"/>
        <v>х</v>
      </c>
      <c r="BQ181" s="4" t="str">
        <f t="shared" si="201"/>
        <v>х</v>
      </c>
      <c r="BR181" s="4" t="str">
        <f>"1989"</f>
        <v>1989</v>
      </c>
      <c r="BS181" s="4" t="str">
        <f>"30,00"</f>
        <v>30,00</v>
      </c>
      <c r="BT181" s="4" t="str">
        <f>"2033-2035"</f>
        <v>2033-2035</v>
      </c>
      <c r="BU181" s="4" t="str">
        <f t="shared" si="153"/>
        <v>нет</v>
      </c>
      <c r="BV181" s="4" t="str">
        <f t="shared" si="197"/>
        <v>x</v>
      </c>
      <c r="BW181" s="4" t="str">
        <f t="shared" si="197"/>
        <v>x</v>
      </c>
      <c r="BX181" s="4" t="str">
        <f t="shared" si="197"/>
        <v>x</v>
      </c>
      <c r="BY181" s="4" t="str">
        <f t="shared" si="192"/>
        <v>нет</v>
      </c>
      <c r="BZ181" s="4" t="str">
        <f t="shared" si="193"/>
        <v>x</v>
      </c>
      <c r="CA181" s="4" t="str">
        <f t="shared" si="193"/>
        <v>x</v>
      </c>
      <c r="CB181" s="4" t="str">
        <f t="shared" si="193"/>
        <v>x</v>
      </c>
      <c r="CC181" s="4" t="str">
        <f>"1989"</f>
        <v>1989</v>
      </c>
      <c r="CD181" s="4" t="str">
        <f>"25,00"</f>
        <v>25,00</v>
      </c>
      <c r="CE181" s="4" t="str">
        <f>"2033-2035"</f>
        <v>2033-2035</v>
      </c>
      <c r="CF181" s="4" t="str">
        <f>"1989"</f>
        <v>1989</v>
      </c>
      <c r="CG181" s="4" t="str">
        <f>"15,00"</f>
        <v>15,00</v>
      </c>
      <c r="CH181" s="4" t="str">
        <f>"2033-2035"</f>
        <v>2033-2035</v>
      </c>
      <c r="CI181" s="4" t="str">
        <f>"29,00"</f>
        <v>29,00</v>
      </c>
      <c r="CJ181" s="4" t="str">
        <f>"2033-2035"</f>
        <v>2033-2035</v>
      </c>
    </row>
    <row r="182" spans="1:88" ht="11.25" customHeight="1">
      <c r="A182" s="45" t="str">
        <f>"24.169"</f>
        <v>24.169</v>
      </c>
      <c r="B182" s="46" t="str">
        <f>"г. Харовск, ул.Молодежная, д.12"</f>
        <v>г. Харовск, ул.Молодежная, д.12</v>
      </c>
      <c r="C182" s="6" t="str">
        <f>"1964"</f>
        <v>1964</v>
      </c>
      <c r="D182" s="4" t="str">
        <f>"1964"</f>
        <v>1964</v>
      </c>
      <c r="E182" s="4" t="str">
        <f>"40,00"</f>
        <v>40,00</v>
      </c>
      <c r="F182" s="4" t="str">
        <f>"2040-2042"</f>
        <v>2040-2042</v>
      </c>
      <c r="G182" s="4" t="str">
        <f t="shared" si="191"/>
        <v>нет</v>
      </c>
      <c r="H182" s="4" t="str">
        <f>""</f>
        <v/>
      </c>
      <c r="I182" s="4" t="str">
        <f>""</f>
        <v/>
      </c>
      <c r="J182" s="4" t="str">
        <f>""</f>
        <v/>
      </c>
      <c r="K182" s="4" t="str">
        <f t="shared" si="151"/>
        <v>нет</v>
      </c>
      <c r="L182" s="4" t="str">
        <f>""</f>
        <v/>
      </c>
      <c r="M182" s="4" t="str">
        <f>""</f>
        <v/>
      </c>
      <c r="N182" s="4" t="str">
        <f>""</f>
        <v/>
      </c>
      <c r="O182" s="7" t="str">
        <f t="shared" ref="O182:AJ182" si="202">"х"</f>
        <v>х</v>
      </c>
      <c r="P182" s="4" t="str">
        <f t="shared" si="202"/>
        <v>х</v>
      </c>
      <c r="Q182" s="4" t="str">
        <f t="shared" si="202"/>
        <v>х</v>
      </c>
      <c r="R182" s="4" t="str">
        <f t="shared" si="202"/>
        <v>х</v>
      </c>
      <c r="S182" s="4" t="str">
        <f t="shared" si="202"/>
        <v>х</v>
      </c>
      <c r="T182" s="4" t="str">
        <f t="shared" si="202"/>
        <v>х</v>
      </c>
      <c r="U182" s="4" t="str">
        <f t="shared" si="202"/>
        <v>х</v>
      </c>
      <c r="V182" s="4" t="str">
        <f t="shared" si="202"/>
        <v>х</v>
      </c>
      <c r="W182" s="4" t="str">
        <f t="shared" si="202"/>
        <v>х</v>
      </c>
      <c r="X182" s="4" t="str">
        <f t="shared" si="202"/>
        <v>х</v>
      </c>
      <c r="Y182" s="8" t="str">
        <f t="shared" si="202"/>
        <v>х</v>
      </c>
      <c r="Z182" s="4" t="str">
        <f t="shared" si="202"/>
        <v>х</v>
      </c>
      <c r="AA182" s="4" t="str">
        <f t="shared" si="202"/>
        <v>х</v>
      </c>
      <c r="AB182" s="4" t="str">
        <f t="shared" si="202"/>
        <v>х</v>
      </c>
      <c r="AC182" s="4" t="str">
        <f t="shared" si="202"/>
        <v>х</v>
      </c>
      <c r="AD182" s="4" t="str">
        <f t="shared" si="202"/>
        <v>х</v>
      </c>
      <c r="AE182" s="4" t="str">
        <f t="shared" si="202"/>
        <v>х</v>
      </c>
      <c r="AF182" s="4" t="str">
        <f t="shared" si="202"/>
        <v>х</v>
      </c>
      <c r="AG182" s="4" t="str">
        <f t="shared" si="202"/>
        <v>х</v>
      </c>
      <c r="AH182" s="4" t="str">
        <f t="shared" si="202"/>
        <v>х</v>
      </c>
      <c r="AI182" s="4" t="str">
        <f t="shared" si="202"/>
        <v>х</v>
      </c>
      <c r="AJ182" s="4" t="str">
        <f t="shared" si="202"/>
        <v>х</v>
      </c>
      <c r="AK182" s="7" t="str">
        <f>"1964"</f>
        <v>1964</v>
      </c>
      <c r="AL182" s="4" t="str">
        <f>"40,00"</f>
        <v>40,00</v>
      </c>
      <c r="AM182" s="4" t="str">
        <f>"2040-2042"</f>
        <v>2040-2042</v>
      </c>
      <c r="AN182" s="4" t="str">
        <f>"нет"</f>
        <v>нет</v>
      </c>
      <c r="AO182" s="4" t="str">
        <f>""</f>
        <v/>
      </c>
      <c r="AP182" s="4" t="str">
        <f>""</f>
        <v/>
      </c>
      <c r="AQ182" s="4" t="str">
        <f>""</f>
        <v/>
      </c>
      <c r="AR182" s="4" t="str">
        <f t="shared" ref="AR182:AR192" si="203">"нет"</f>
        <v>нет</v>
      </c>
      <c r="AS182" s="4" t="str">
        <f>""</f>
        <v/>
      </c>
      <c r="AT182" s="4" t="str">
        <f>""</f>
        <v/>
      </c>
      <c r="AU182" s="4" t="str">
        <f>""</f>
        <v/>
      </c>
      <c r="AV182" s="4" t="str">
        <f t="shared" si="190"/>
        <v>х</v>
      </c>
      <c r="AW182" s="4" t="str">
        <f t="shared" si="190"/>
        <v>х</v>
      </c>
      <c r="AX182" s="4" t="str">
        <f t="shared" si="190"/>
        <v>х</v>
      </c>
      <c r="AY182" s="4" t="str">
        <f t="shared" si="190"/>
        <v>х</v>
      </c>
      <c r="AZ182" s="4" t="str">
        <f t="shared" si="190"/>
        <v>х</v>
      </c>
      <c r="BA182" s="4" t="str">
        <f t="shared" si="190"/>
        <v>х</v>
      </c>
      <c r="BB182" s="4" t="str">
        <f t="shared" si="190"/>
        <v>х</v>
      </c>
      <c r="BC182" s="4" t="str">
        <f t="shared" si="190"/>
        <v>х</v>
      </c>
      <c r="BD182" s="4" t="str">
        <f t="shared" si="190"/>
        <v>х</v>
      </c>
      <c r="BE182" s="4" t="str">
        <f t="shared" si="190"/>
        <v>х</v>
      </c>
      <c r="BF182" s="4" t="str">
        <f t="shared" si="190"/>
        <v>х</v>
      </c>
      <c r="BG182" s="4" t="str">
        <f>"1964"</f>
        <v>1964</v>
      </c>
      <c r="BH182" s="4" t="str">
        <f>"40,00"</f>
        <v>40,00</v>
      </c>
      <c r="BI182" s="4" t="str">
        <f>"2040-2042"</f>
        <v>2040-2042</v>
      </c>
      <c r="BJ182" s="4" t="str">
        <f t="shared" ref="BJ182:BJ192" si="204">"нет"</f>
        <v>нет</v>
      </c>
      <c r="BK182" s="4" t="str">
        <f>""</f>
        <v/>
      </c>
      <c r="BL182" s="4" t="str">
        <f>""</f>
        <v/>
      </c>
      <c r="BM182" s="4" t="str">
        <f>""</f>
        <v/>
      </c>
      <c r="BN182" s="4" t="str">
        <f t="shared" ref="BN182:BN192" si="205">"нет"</f>
        <v>нет</v>
      </c>
      <c r="BO182" s="4" t="str">
        <f>""</f>
        <v/>
      </c>
      <c r="BP182" s="4" t="str">
        <f>""</f>
        <v/>
      </c>
      <c r="BQ182" s="4" t="str">
        <f>""</f>
        <v/>
      </c>
      <c r="BR182" s="4" t="str">
        <f>"1964"</f>
        <v>1964</v>
      </c>
      <c r="BS182" s="4" t="str">
        <f>"60,00"</f>
        <v>60,00</v>
      </c>
      <c r="BT182" s="4" t="str">
        <f>"2021-2023"</f>
        <v>2021-2023</v>
      </c>
      <c r="BU182" s="4" t="str">
        <f t="shared" si="153"/>
        <v>нет</v>
      </c>
      <c r="BV182" s="4" t="str">
        <f t="shared" si="197"/>
        <v>x</v>
      </c>
      <c r="BW182" s="4" t="str">
        <f t="shared" si="197"/>
        <v>x</v>
      </c>
      <c r="BX182" s="4" t="str">
        <f t="shared" si="197"/>
        <v>x</v>
      </c>
      <c r="BY182" s="4" t="str">
        <f t="shared" si="192"/>
        <v>нет</v>
      </c>
      <c r="BZ182" s="4" t="str">
        <f t="shared" si="193"/>
        <v>x</v>
      </c>
      <c r="CA182" s="4" t="str">
        <f t="shared" si="193"/>
        <v>x</v>
      </c>
      <c r="CB182" s="4" t="str">
        <f t="shared" si="193"/>
        <v>x</v>
      </c>
      <c r="CC182" s="4" t="str">
        <f>"1964"</f>
        <v>1964</v>
      </c>
      <c r="CD182" s="4" t="str">
        <f>"50,00"</f>
        <v>50,00</v>
      </c>
      <c r="CE182" s="4" t="str">
        <f>"2021-2023"</f>
        <v>2021-2023</v>
      </c>
      <c r="CF182" s="4" t="str">
        <f>"1964"</f>
        <v>1964</v>
      </c>
      <c r="CG182" s="4" t="str">
        <f>"40,00"</f>
        <v>40,00</v>
      </c>
      <c r="CH182" s="4" t="str">
        <f>"2021-2023"</f>
        <v>2021-2023</v>
      </c>
      <c r="CI182" s="4" t="str">
        <f>"44,00"</f>
        <v>44,00</v>
      </c>
      <c r="CJ182" s="4" t="str">
        <f>"2021-2023"</f>
        <v>2021-2023</v>
      </c>
    </row>
    <row r="183" spans="1:88" ht="11.25" customHeight="1">
      <c r="A183" s="45" t="str">
        <f>"24.170"</f>
        <v>24.170</v>
      </c>
      <c r="B183" s="46" t="str">
        <f>"г. Харовск, ул.Молодежная, д.20"</f>
        <v>г. Харовск, ул.Молодежная, д.20</v>
      </c>
      <c r="C183" s="6" t="str">
        <f>"1992"</f>
        <v>1992</v>
      </c>
      <c r="D183" s="4" t="str">
        <f>"1992"</f>
        <v>1992</v>
      </c>
      <c r="E183" s="4" t="str">
        <f>"20,00"</f>
        <v>20,00</v>
      </c>
      <c r="F183" s="4" t="str">
        <f>"2035-2037"</f>
        <v>2035-2037</v>
      </c>
      <c r="G183" s="4" t="str">
        <f t="shared" si="191"/>
        <v>нет</v>
      </c>
      <c r="H183" s="4" t="str">
        <f>""</f>
        <v/>
      </c>
      <c r="I183" s="4" t="str">
        <f>""</f>
        <v/>
      </c>
      <c r="J183" s="4" t="str">
        <f>""</f>
        <v/>
      </c>
      <c r="K183" s="4" t="str">
        <f t="shared" si="151"/>
        <v>нет</v>
      </c>
      <c r="L183" s="4" t="str">
        <f>""</f>
        <v/>
      </c>
      <c r="M183" s="4" t="str">
        <f>""</f>
        <v/>
      </c>
      <c r="N183" s="4" t="str">
        <f>""</f>
        <v/>
      </c>
      <c r="O183" s="7" t="str">
        <f>"1992"</f>
        <v>1992</v>
      </c>
      <c r="P183" s="4" t="str">
        <f>"20,00"</f>
        <v>20,00</v>
      </c>
      <c r="Q183" s="4" t="str">
        <f>"2035-2037"</f>
        <v>2035-2037</v>
      </c>
      <c r="R183" s="4" t="str">
        <f>"да"</f>
        <v>да</v>
      </c>
      <c r="S183" s="4" t="str">
        <f>"2011"</f>
        <v>2011</v>
      </c>
      <c r="T183" s="4" t="str">
        <f>"50,00"</f>
        <v>50,00</v>
      </c>
      <c r="U183" s="4" t="str">
        <f>"2035-2037"</f>
        <v>2035-2037</v>
      </c>
      <c r="V183" s="4" t="str">
        <f t="shared" ref="V183:V192" si="206">"нет"</f>
        <v>нет</v>
      </c>
      <c r="W183" s="4" t="str">
        <f>""</f>
        <v/>
      </c>
      <c r="X183" s="4" t="str">
        <f>""</f>
        <v/>
      </c>
      <c r="Y183" s="8" t="str">
        <f>""</f>
        <v/>
      </c>
      <c r="Z183" s="4" t="str">
        <f t="shared" ref="Z183:AJ189" si="207">"х"</f>
        <v>х</v>
      </c>
      <c r="AA183" s="4" t="str">
        <f t="shared" si="207"/>
        <v>х</v>
      </c>
      <c r="AB183" s="4" t="str">
        <f t="shared" si="207"/>
        <v>х</v>
      </c>
      <c r="AC183" s="4" t="str">
        <f t="shared" si="207"/>
        <v>х</v>
      </c>
      <c r="AD183" s="4" t="str">
        <f t="shared" si="207"/>
        <v>х</v>
      </c>
      <c r="AE183" s="4" t="str">
        <f t="shared" si="207"/>
        <v>х</v>
      </c>
      <c r="AF183" s="4" t="str">
        <f t="shared" si="207"/>
        <v>х</v>
      </c>
      <c r="AG183" s="4" t="str">
        <f t="shared" si="207"/>
        <v>х</v>
      </c>
      <c r="AH183" s="4" t="str">
        <f t="shared" si="207"/>
        <v>х</v>
      </c>
      <c r="AI183" s="4" t="str">
        <f t="shared" si="207"/>
        <v>х</v>
      </c>
      <c r="AJ183" s="4" t="str">
        <f t="shared" si="207"/>
        <v>х</v>
      </c>
      <c r="AK183" s="7" t="str">
        <f>"1992"</f>
        <v>1992</v>
      </c>
      <c r="AL183" s="4" t="str">
        <f>"20,00"</f>
        <v>20,00</v>
      </c>
      <c r="AM183" s="4" t="str">
        <f>"2035-2037"</f>
        <v>2035-2037</v>
      </c>
      <c r="AN183" s="4" t="str">
        <f>"да"</f>
        <v>да</v>
      </c>
      <c r="AO183" s="4" t="str">
        <f>"2013"</f>
        <v>2013</v>
      </c>
      <c r="AP183" s="4" t="str">
        <f>"0,00"</f>
        <v>0,00</v>
      </c>
      <c r="AQ183" s="4" t="str">
        <f>"2035-2037"</f>
        <v>2035-2037</v>
      </c>
      <c r="AR183" s="4" t="str">
        <f t="shared" si="203"/>
        <v>нет</v>
      </c>
      <c r="AS183" s="4" t="str">
        <f>""</f>
        <v/>
      </c>
      <c r="AT183" s="4" t="str">
        <f>""</f>
        <v/>
      </c>
      <c r="AU183" s="4" t="str">
        <f>""</f>
        <v/>
      </c>
      <c r="AV183" s="4" t="str">
        <f t="shared" si="190"/>
        <v>х</v>
      </c>
      <c r="AW183" s="4" t="str">
        <f t="shared" si="190"/>
        <v>х</v>
      </c>
      <c r="AX183" s="4" t="str">
        <f t="shared" si="190"/>
        <v>х</v>
      </c>
      <c r="AY183" s="4" t="str">
        <f t="shared" si="190"/>
        <v>х</v>
      </c>
      <c r="AZ183" s="4" t="str">
        <f t="shared" si="190"/>
        <v>х</v>
      </c>
      <c r="BA183" s="4" t="str">
        <f t="shared" si="190"/>
        <v>х</v>
      </c>
      <c r="BB183" s="4" t="str">
        <f t="shared" si="190"/>
        <v>х</v>
      </c>
      <c r="BC183" s="4" t="str">
        <f t="shared" si="190"/>
        <v>х</v>
      </c>
      <c r="BD183" s="4" t="str">
        <f t="shared" si="190"/>
        <v>х</v>
      </c>
      <c r="BE183" s="4" t="str">
        <f t="shared" si="190"/>
        <v>х</v>
      </c>
      <c r="BF183" s="4" t="str">
        <f t="shared" si="190"/>
        <v>х</v>
      </c>
      <c r="BG183" s="4" t="str">
        <f>"1992"</f>
        <v>1992</v>
      </c>
      <c r="BH183" s="4" t="str">
        <f>"20,00"</f>
        <v>20,00</v>
      </c>
      <c r="BI183" s="4" t="str">
        <f>"2035-2037"</f>
        <v>2035-2037</v>
      </c>
      <c r="BJ183" s="4" t="str">
        <f t="shared" si="204"/>
        <v>нет</v>
      </c>
      <c r="BK183" s="4" t="str">
        <f>""</f>
        <v/>
      </c>
      <c r="BL183" s="4" t="str">
        <f>""</f>
        <v/>
      </c>
      <c r="BM183" s="4" t="str">
        <f>""</f>
        <v/>
      </c>
      <c r="BN183" s="4" t="str">
        <f t="shared" si="205"/>
        <v>нет</v>
      </c>
      <c r="BO183" s="4" t="str">
        <f>""</f>
        <v/>
      </c>
      <c r="BP183" s="4" t="str">
        <f>""</f>
        <v/>
      </c>
      <c r="BQ183" s="4" t="str">
        <f>""</f>
        <v/>
      </c>
      <c r="BR183" s="4" t="str">
        <f>"1992"</f>
        <v>1992</v>
      </c>
      <c r="BS183" s="4" t="str">
        <f>"25,00"</f>
        <v>25,00</v>
      </c>
      <c r="BT183" s="4" t="str">
        <f>"2035-2037"</f>
        <v>2035-2037</v>
      </c>
      <c r="BU183" s="4" t="str">
        <f t="shared" si="153"/>
        <v>нет</v>
      </c>
      <c r="BV183" s="4" t="str">
        <f t="shared" si="197"/>
        <v>x</v>
      </c>
      <c r="BW183" s="4" t="str">
        <f t="shared" si="197"/>
        <v>x</v>
      </c>
      <c r="BX183" s="4" t="str">
        <f t="shared" si="197"/>
        <v>x</v>
      </c>
      <c r="BY183" s="4" t="str">
        <f t="shared" si="192"/>
        <v>нет</v>
      </c>
      <c r="BZ183" s="4" t="str">
        <f t="shared" si="193"/>
        <v>x</v>
      </c>
      <c r="CA183" s="4" t="str">
        <f t="shared" si="193"/>
        <v>x</v>
      </c>
      <c r="CB183" s="4" t="str">
        <f t="shared" si="193"/>
        <v>x</v>
      </c>
      <c r="CC183" s="4" t="str">
        <f>"1992"</f>
        <v>1992</v>
      </c>
      <c r="CD183" s="4" t="str">
        <f>"20,00"</f>
        <v>20,00</v>
      </c>
      <c r="CE183" s="4" t="str">
        <f>"2035-2037"</f>
        <v>2035-2037</v>
      </c>
      <c r="CF183" s="4" t="str">
        <f>"1992"</f>
        <v>1992</v>
      </c>
      <c r="CG183" s="4" t="str">
        <f>"15,00"</f>
        <v>15,00</v>
      </c>
      <c r="CH183" s="4" t="str">
        <f>"2035-2037"</f>
        <v>2035-2037</v>
      </c>
      <c r="CI183" s="4" t="str">
        <f>"21,00"</f>
        <v>21,00</v>
      </c>
      <c r="CJ183" s="4" t="str">
        <f>"2035-2037"</f>
        <v>2035-2037</v>
      </c>
    </row>
    <row r="184" spans="1:88" ht="11.25" customHeight="1">
      <c r="A184" s="45" t="str">
        <f>"24.171"</f>
        <v>24.171</v>
      </c>
      <c r="B184" s="46" t="str">
        <f>"г. Харовск, ул.Молодежная, д.3"</f>
        <v>г. Харовск, ул.Молодежная, д.3</v>
      </c>
      <c r="C184" s="6" t="str">
        <f>"1986"</f>
        <v>1986</v>
      </c>
      <c r="D184" s="4" t="str">
        <f>"1986"</f>
        <v>1986</v>
      </c>
      <c r="E184" s="4" t="str">
        <f>"30,00"</f>
        <v>30,00</v>
      </c>
      <c r="F184" s="4" t="str">
        <f>"2031-2033"</f>
        <v>2031-2033</v>
      </c>
      <c r="G184" s="4" t="str">
        <f t="shared" si="191"/>
        <v>нет</v>
      </c>
      <c r="H184" s="4" t="str">
        <f>""</f>
        <v/>
      </c>
      <c r="I184" s="4" t="str">
        <f>""</f>
        <v/>
      </c>
      <c r="J184" s="4" t="str">
        <f>""</f>
        <v/>
      </c>
      <c r="K184" s="4" t="str">
        <f t="shared" si="151"/>
        <v>нет</v>
      </c>
      <c r="L184" s="4" t="str">
        <f>""</f>
        <v/>
      </c>
      <c r="M184" s="4" t="str">
        <f>""</f>
        <v/>
      </c>
      <c r="N184" s="4" t="str">
        <f>""</f>
        <v/>
      </c>
      <c r="O184" s="7" t="str">
        <f>"1986"</f>
        <v>1986</v>
      </c>
      <c r="P184" s="4" t="str">
        <f>"30,00"</f>
        <v>30,00</v>
      </c>
      <c r="Q184" s="4" t="str">
        <f>"2031-2033"</f>
        <v>2031-2033</v>
      </c>
      <c r="R184" s="4" t="str">
        <f>"да"</f>
        <v>да</v>
      </c>
      <c r="S184" s="4" t="str">
        <f>"2009"</f>
        <v>2009</v>
      </c>
      <c r="T184" s="4" t="str">
        <f>"90,00"</f>
        <v>90,00</v>
      </c>
      <c r="U184" s="4" t="str">
        <f>"2031-2033"</f>
        <v>2031-2033</v>
      </c>
      <c r="V184" s="4" t="str">
        <f t="shared" si="206"/>
        <v>нет</v>
      </c>
      <c r="W184" s="4" t="str">
        <f>""</f>
        <v/>
      </c>
      <c r="X184" s="4" t="str">
        <f>""</f>
        <v/>
      </c>
      <c r="Y184" s="8" t="str">
        <f>""</f>
        <v/>
      </c>
      <c r="Z184" s="4" t="str">
        <f t="shared" si="207"/>
        <v>х</v>
      </c>
      <c r="AA184" s="4" t="str">
        <f t="shared" si="207"/>
        <v>х</v>
      </c>
      <c r="AB184" s="4" t="str">
        <f t="shared" si="207"/>
        <v>х</v>
      </c>
      <c r="AC184" s="4" t="str">
        <f t="shared" si="207"/>
        <v>х</v>
      </c>
      <c r="AD184" s="4" t="str">
        <f t="shared" si="207"/>
        <v>х</v>
      </c>
      <c r="AE184" s="4" t="str">
        <f t="shared" si="207"/>
        <v>х</v>
      </c>
      <c r="AF184" s="4" t="str">
        <f t="shared" si="207"/>
        <v>х</v>
      </c>
      <c r="AG184" s="4" t="str">
        <f t="shared" si="207"/>
        <v>х</v>
      </c>
      <c r="AH184" s="4" t="str">
        <f t="shared" si="207"/>
        <v>х</v>
      </c>
      <c r="AI184" s="4" t="str">
        <f t="shared" si="207"/>
        <v>х</v>
      </c>
      <c r="AJ184" s="4" t="str">
        <f t="shared" si="207"/>
        <v>х</v>
      </c>
      <c r="AK184" s="7" t="str">
        <f>"1986"</f>
        <v>1986</v>
      </c>
      <c r="AL184" s="4" t="str">
        <f>"30,00"</f>
        <v>30,00</v>
      </c>
      <c r="AM184" s="4" t="str">
        <f>"2031-2033"</f>
        <v>2031-2033</v>
      </c>
      <c r="AN184" s="4" t="str">
        <f>"да"</f>
        <v>да</v>
      </c>
      <c r="AO184" s="4" t="str">
        <f>"2013"</f>
        <v>2013</v>
      </c>
      <c r="AP184" s="4" t="str">
        <f>"0,00"</f>
        <v>0,00</v>
      </c>
      <c r="AQ184" s="4" t="str">
        <f>"2031-2033"</f>
        <v>2031-2033</v>
      </c>
      <c r="AR184" s="4" t="str">
        <f t="shared" si="203"/>
        <v>нет</v>
      </c>
      <c r="AS184" s="4" t="str">
        <f>""</f>
        <v/>
      </c>
      <c r="AT184" s="4" t="str">
        <f>""</f>
        <v/>
      </c>
      <c r="AU184" s="4" t="str">
        <f>""</f>
        <v/>
      </c>
      <c r="AV184" s="4" t="str">
        <f>""</f>
        <v/>
      </c>
      <c r="AW184" s="4" t="str">
        <f>""</f>
        <v/>
      </c>
      <c r="AX184" s="4" t="str">
        <f>""</f>
        <v/>
      </c>
      <c r="AY184" s="4" t="str">
        <f>""</f>
        <v/>
      </c>
      <c r="AZ184" s="4" t="str">
        <f>""</f>
        <v/>
      </c>
      <c r="BA184" s="4" t="str">
        <f>""</f>
        <v/>
      </c>
      <c r="BB184" s="4" t="str">
        <f>""</f>
        <v/>
      </c>
      <c r="BC184" s="4" t="str">
        <f>""</f>
        <v/>
      </c>
      <c r="BD184" s="4" t="str">
        <f>""</f>
        <v/>
      </c>
      <c r="BE184" s="4" t="str">
        <f>""</f>
        <v/>
      </c>
      <c r="BF184" s="4" t="str">
        <f>""</f>
        <v/>
      </c>
      <c r="BG184" s="4" t="str">
        <f>"1986"</f>
        <v>1986</v>
      </c>
      <c r="BH184" s="4" t="str">
        <f>"30,00"</f>
        <v>30,00</v>
      </c>
      <c r="BI184" s="4" t="str">
        <f>"2031-2033"</f>
        <v>2031-2033</v>
      </c>
      <c r="BJ184" s="4" t="str">
        <f t="shared" si="204"/>
        <v>нет</v>
      </c>
      <c r="BK184" s="4" t="str">
        <f>""</f>
        <v/>
      </c>
      <c r="BL184" s="4" t="str">
        <f>""</f>
        <v/>
      </c>
      <c r="BM184" s="4" t="str">
        <f>""</f>
        <v/>
      </c>
      <c r="BN184" s="4" t="str">
        <f t="shared" si="205"/>
        <v>нет</v>
      </c>
      <c r="BO184" s="4" t="str">
        <f>""</f>
        <v/>
      </c>
      <c r="BP184" s="4" t="str">
        <f>""</f>
        <v/>
      </c>
      <c r="BQ184" s="4" t="str">
        <f>""</f>
        <v/>
      </c>
      <c r="BR184" s="4" t="str">
        <f>"1986"</f>
        <v>1986</v>
      </c>
      <c r="BS184" s="4" t="str">
        <f>"35,00"</f>
        <v>35,00</v>
      </c>
      <c r="BT184" s="4" t="str">
        <f>"2031-2033"</f>
        <v>2031-2033</v>
      </c>
      <c r="BU184" s="4" t="str">
        <f t="shared" si="153"/>
        <v>нет</v>
      </c>
      <c r="BV184" s="4" t="str">
        <f t="shared" si="197"/>
        <v>x</v>
      </c>
      <c r="BW184" s="4" t="str">
        <f t="shared" si="197"/>
        <v>x</v>
      </c>
      <c r="BX184" s="4" t="str">
        <f t="shared" si="197"/>
        <v>x</v>
      </c>
      <c r="BY184" s="4" t="str">
        <f t="shared" si="192"/>
        <v>нет</v>
      </c>
      <c r="BZ184" s="4" t="str">
        <f t="shared" si="193"/>
        <v>x</v>
      </c>
      <c r="CA184" s="4" t="str">
        <f t="shared" si="193"/>
        <v>x</v>
      </c>
      <c r="CB184" s="4" t="str">
        <f t="shared" si="193"/>
        <v>x</v>
      </c>
      <c r="CC184" s="4" t="str">
        <f>"1986"</f>
        <v>1986</v>
      </c>
      <c r="CD184" s="4" t="str">
        <f>"20,00"</f>
        <v>20,00</v>
      </c>
      <c r="CE184" s="4" t="str">
        <f>"2031-2033"</f>
        <v>2031-2033</v>
      </c>
      <c r="CF184" s="4" t="str">
        <f>"1986"</f>
        <v>1986</v>
      </c>
      <c r="CG184" s="4" t="str">
        <f>"20,00"</f>
        <v>20,00</v>
      </c>
      <c r="CH184" s="4" t="str">
        <f>"2031-2033"</f>
        <v>2031-2033</v>
      </c>
      <c r="CI184" s="4" t="str">
        <f>"25,00"</f>
        <v>25,00</v>
      </c>
      <c r="CJ184" s="4" t="str">
        <f>"2031-2033"</f>
        <v>2031-2033</v>
      </c>
    </row>
    <row r="185" spans="1:88" ht="11.25" customHeight="1">
      <c r="A185" s="45" t="str">
        <f>"24.172"</f>
        <v>24.172</v>
      </c>
      <c r="B185" s="46" t="str">
        <f>"г. Харовск, ул.Молодежная, д.5"</f>
        <v>г. Харовск, ул.Молодежная, д.5</v>
      </c>
      <c r="C185" s="6" t="str">
        <f>"1986"</f>
        <v>1986</v>
      </c>
      <c r="D185" s="4" t="str">
        <f>"1986"</f>
        <v>1986</v>
      </c>
      <c r="E185" s="4" t="str">
        <f>"25,00"</f>
        <v>25,00</v>
      </c>
      <c r="F185" s="4" t="str">
        <f>"2031-2033"</f>
        <v>2031-2033</v>
      </c>
      <c r="G185" s="4" t="str">
        <f t="shared" si="191"/>
        <v>нет</v>
      </c>
      <c r="H185" s="4" t="str">
        <f>""</f>
        <v/>
      </c>
      <c r="I185" s="4" t="str">
        <f>""</f>
        <v/>
      </c>
      <c r="J185" s="4" t="str">
        <f>""</f>
        <v/>
      </c>
      <c r="K185" s="4" t="str">
        <f t="shared" si="151"/>
        <v>нет</v>
      </c>
      <c r="L185" s="4" t="str">
        <f>""</f>
        <v/>
      </c>
      <c r="M185" s="4" t="str">
        <f>""</f>
        <v/>
      </c>
      <c r="N185" s="4" t="str">
        <f>""</f>
        <v/>
      </c>
      <c r="O185" s="7" t="str">
        <f>"1986"</f>
        <v>1986</v>
      </c>
      <c r="P185" s="4" t="str">
        <f>"25,00"</f>
        <v>25,00</v>
      </c>
      <c r="Q185" s="4" t="str">
        <f>"2031-2033"</f>
        <v>2031-2033</v>
      </c>
      <c r="R185" s="4" t="str">
        <f>"да"</f>
        <v>да</v>
      </c>
      <c r="S185" s="4" t="str">
        <f>"2009"</f>
        <v>2009</v>
      </c>
      <c r="T185" s="4" t="str">
        <f>"90,00"</f>
        <v>90,00</v>
      </c>
      <c r="U185" s="4" t="str">
        <f>"2031-2033"</f>
        <v>2031-2033</v>
      </c>
      <c r="V185" s="4" t="str">
        <f t="shared" si="206"/>
        <v>нет</v>
      </c>
      <c r="W185" s="4" t="str">
        <f>""</f>
        <v/>
      </c>
      <c r="X185" s="4" t="str">
        <f>""</f>
        <v/>
      </c>
      <c r="Y185" s="8" t="str">
        <f>""</f>
        <v/>
      </c>
      <c r="Z185" s="4" t="str">
        <f t="shared" si="207"/>
        <v>х</v>
      </c>
      <c r="AA185" s="4" t="str">
        <f t="shared" si="207"/>
        <v>х</v>
      </c>
      <c r="AB185" s="4" t="str">
        <f t="shared" si="207"/>
        <v>х</v>
      </c>
      <c r="AC185" s="4" t="str">
        <f t="shared" si="207"/>
        <v>х</v>
      </c>
      <c r="AD185" s="4" t="str">
        <f t="shared" si="207"/>
        <v>х</v>
      </c>
      <c r="AE185" s="4" t="str">
        <f t="shared" si="207"/>
        <v>х</v>
      </c>
      <c r="AF185" s="4" t="str">
        <f t="shared" si="207"/>
        <v>х</v>
      </c>
      <c r="AG185" s="4" t="str">
        <f t="shared" si="207"/>
        <v>х</v>
      </c>
      <c r="AH185" s="4" t="str">
        <f t="shared" si="207"/>
        <v>х</v>
      </c>
      <c r="AI185" s="4" t="str">
        <f t="shared" si="207"/>
        <v>х</v>
      </c>
      <c r="AJ185" s="4" t="str">
        <f t="shared" si="207"/>
        <v>х</v>
      </c>
      <c r="AK185" s="7" t="str">
        <f>"1986"</f>
        <v>1986</v>
      </c>
      <c r="AL185" s="4" t="str">
        <f>"25,00"</f>
        <v>25,00</v>
      </c>
      <c r="AM185" s="4" t="str">
        <f>"2031-2033"</f>
        <v>2031-2033</v>
      </c>
      <c r="AN185" s="4" t="str">
        <f>"да"</f>
        <v>да</v>
      </c>
      <c r="AO185" s="4" t="str">
        <f>"2013"</f>
        <v>2013</v>
      </c>
      <c r="AP185" s="4" t="str">
        <f>"0,00"</f>
        <v>0,00</v>
      </c>
      <c r="AQ185" s="4" t="str">
        <f>"2031-2033"</f>
        <v>2031-2033</v>
      </c>
      <c r="AR185" s="4" t="str">
        <f t="shared" si="203"/>
        <v>нет</v>
      </c>
      <c r="AS185" s="4" t="str">
        <f>""</f>
        <v/>
      </c>
      <c r="AT185" s="4" t="str">
        <f>""</f>
        <v/>
      </c>
      <c r="AU185" s="4" t="str">
        <f>""</f>
        <v/>
      </c>
      <c r="AV185" s="4" t="str">
        <f>""</f>
        <v/>
      </c>
      <c r="AW185" s="4" t="str">
        <f>""</f>
        <v/>
      </c>
      <c r="AX185" s="4" t="str">
        <f>""</f>
        <v/>
      </c>
      <c r="AY185" s="4" t="str">
        <f>""</f>
        <v/>
      </c>
      <c r="AZ185" s="4" t="str">
        <f>""</f>
        <v/>
      </c>
      <c r="BA185" s="4" t="str">
        <f>""</f>
        <v/>
      </c>
      <c r="BB185" s="4" t="str">
        <f>""</f>
        <v/>
      </c>
      <c r="BC185" s="4" t="str">
        <f>""</f>
        <v/>
      </c>
      <c r="BD185" s="4" t="str">
        <f>""</f>
        <v/>
      </c>
      <c r="BE185" s="4" t="str">
        <f>""</f>
        <v/>
      </c>
      <c r="BF185" s="4" t="str">
        <f>""</f>
        <v/>
      </c>
      <c r="BG185" s="4" t="str">
        <f>"1986"</f>
        <v>1986</v>
      </c>
      <c r="BH185" s="4" t="str">
        <f>"25,00"</f>
        <v>25,00</v>
      </c>
      <c r="BI185" s="4" t="str">
        <f>"2031-2033"</f>
        <v>2031-2033</v>
      </c>
      <c r="BJ185" s="4" t="str">
        <f t="shared" si="204"/>
        <v>нет</v>
      </c>
      <c r="BK185" s="4" t="str">
        <f>""</f>
        <v/>
      </c>
      <c r="BL185" s="4" t="str">
        <f>""</f>
        <v/>
      </c>
      <c r="BM185" s="4" t="str">
        <f>""</f>
        <v/>
      </c>
      <c r="BN185" s="4" t="str">
        <f t="shared" si="205"/>
        <v>нет</v>
      </c>
      <c r="BO185" s="4" t="str">
        <f>""</f>
        <v/>
      </c>
      <c r="BP185" s="4" t="str">
        <f>""</f>
        <v/>
      </c>
      <c r="BQ185" s="4" t="str">
        <f>""</f>
        <v/>
      </c>
      <c r="BR185" s="4" t="str">
        <f>"1986"</f>
        <v>1986</v>
      </c>
      <c r="BS185" s="4" t="str">
        <f>"30,00"</f>
        <v>30,00</v>
      </c>
      <c r="BT185" s="4" t="str">
        <f>"2031-2033"</f>
        <v>2031-2033</v>
      </c>
      <c r="BU185" s="4" t="str">
        <f t="shared" si="153"/>
        <v>нет</v>
      </c>
      <c r="BV185" s="4" t="str">
        <f t="shared" si="197"/>
        <v>x</v>
      </c>
      <c r="BW185" s="4" t="str">
        <f t="shared" si="197"/>
        <v>x</v>
      </c>
      <c r="BX185" s="4" t="str">
        <f t="shared" si="197"/>
        <v>x</v>
      </c>
      <c r="BY185" s="4" t="str">
        <f t="shared" si="192"/>
        <v>нет</v>
      </c>
      <c r="BZ185" s="4" t="str">
        <f t="shared" si="193"/>
        <v>x</v>
      </c>
      <c r="CA185" s="4" t="str">
        <f t="shared" si="193"/>
        <v>x</v>
      </c>
      <c r="CB185" s="4" t="str">
        <f t="shared" si="193"/>
        <v>x</v>
      </c>
      <c r="CC185" s="4" t="str">
        <f>"1986"</f>
        <v>1986</v>
      </c>
      <c r="CD185" s="4" t="str">
        <f>"15,00"</f>
        <v>15,00</v>
      </c>
      <c r="CE185" s="4" t="str">
        <f>"2031-2033"</f>
        <v>2031-2033</v>
      </c>
      <c r="CF185" s="4" t="str">
        <f>"1986"</f>
        <v>1986</v>
      </c>
      <c r="CG185" s="4" t="str">
        <f>"5,00"</f>
        <v>5,00</v>
      </c>
      <c r="CH185" s="4" t="str">
        <f>"2031-2033"</f>
        <v>2031-2033</v>
      </c>
      <c r="CI185" s="4" t="str">
        <f>"20,00"</f>
        <v>20,00</v>
      </c>
      <c r="CJ185" s="4" t="str">
        <f>"2031-2033"</f>
        <v>2031-2033</v>
      </c>
    </row>
    <row r="186" spans="1:88" ht="11.25" customHeight="1">
      <c r="A186" s="45" t="str">
        <f>"24.173"</f>
        <v>24.173</v>
      </c>
      <c r="B186" s="46" t="str">
        <f>"г. Харовск, ул.Молодежная, д.6"</f>
        <v>г. Харовск, ул.Молодежная, д.6</v>
      </c>
      <c r="C186" s="6" t="str">
        <f>"1989"</f>
        <v>1989</v>
      </c>
      <c r="D186" s="4" t="str">
        <f>"1989"</f>
        <v>1989</v>
      </c>
      <c r="E186" s="4" t="str">
        <f>"20,00"</f>
        <v>20,00</v>
      </c>
      <c r="F186" s="4" t="str">
        <f>"2033-2035"</f>
        <v>2033-2035</v>
      </c>
      <c r="G186" s="4" t="str">
        <f t="shared" si="191"/>
        <v>нет</v>
      </c>
      <c r="H186" s="4" t="str">
        <f>""</f>
        <v/>
      </c>
      <c r="I186" s="4" t="str">
        <f>""</f>
        <v/>
      </c>
      <c r="J186" s="4" t="str">
        <f>""</f>
        <v/>
      </c>
      <c r="K186" s="4" t="str">
        <f t="shared" si="151"/>
        <v>нет</v>
      </c>
      <c r="L186" s="4" t="str">
        <f>""</f>
        <v/>
      </c>
      <c r="M186" s="4" t="str">
        <f>""</f>
        <v/>
      </c>
      <c r="N186" s="4" t="str">
        <f>""</f>
        <v/>
      </c>
      <c r="O186" s="7" t="str">
        <f>"1989"</f>
        <v>1989</v>
      </c>
      <c r="P186" s="4" t="str">
        <f>"20,00"</f>
        <v>20,00</v>
      </c>
      <c r="Q186" s="4" t="str">
        <f>"2033-2035"</f>
        <v>2033-2035</v>
      </c>
      <c r="R186" s="4" t="str">
        <f>"да"</f>
        <v>да</v>
      </c>
      <c r="S186" s="4" t="str">
        <f>"2012"</f>
        <v>2012</v>
      </c>
      <c r="T186" s="4" t="str">
        <f>"25,00"</f>
        <v>25,00</v>
      </c>
      <c r="U186" s="4" t="str">
        <f>"2033-2035"</f>
        <v>2033-2035</v>
      </c>
      <c r="V186" s="4" t="str">
        <f t="shared" si="206"/>
        <v>нет</v>
      </c>
      <c r="W186" s="4" t="str">
        <f>""</f>
        <v/>
      </c>
      <c r="X186" s="4" t="str">
        <f>""</f>
        <v/>
      </c>
      <c r="Y186" s="8" t="str">
        <f>""</f>
        <v/>
      </c>
      <c r="Z186" s="4" t="str">
        <f t="shared" si="207"/>
        <v>х</v>
      </c>
      <c r="AA186" s="4" t="str">
        <f t="shared" si="207"/>
        <v>х</v>
      </c>
      <c r="AB186" s="4" t="str">
        <f t="shared" si="207"/>
        <v>х</v>
      </c>
      <c r="AC186" s="4" t="str">
        <f t="shared" si="207"/>
        <v>х</v>
      </c>
      <c r="AD186" s="4" t="str">
        <f t="shared" si="207"/>
        <v>х</v>
      </c>
      <c r="AE186" s="4" t="str">
        <f t="shared" si="207"/>
        <v>х</v>
      </c>
      <c r="AF186" s="4" t="str">
        <f t="shared" si="207"/>
        <v>х</v>
      </c>
      <c r="AG186" s="4" t="str">
        <f t="shared" si="207"/>
        <v>х</v>
      </c>
      <c r="AH186" s="4" t="str">
        <f t="shared" si="207"/>
        <v>х</v>
      </c>
      <c r="AI186" s="4" t="str">
        <f t="shared" si="207"/>
        <v>х</v>
      </c>
      <c r="AJ186" s="4" t="str">
        <f t="shared" si="207"/>
        <v>х</v>
      </c>
      <c r="AK186" s="7" t="str">
        <f>"1989"</f>
        <v>1989</v>
      </c>
      <c r="AL186" s="4" t="str">
        <f>"20,00"</f>
        <v>20,00</v>
      </c>
      <c r="AM186" s="4" t="str">
        <f>"2033-2035"</f>
        <v>2033-2035</v>
      </c>
      <c r="AN186" s="4" t="str">
        <f>"да"</f>
        <v>да</v>
      </c>
      <c r="AO186" s="4" t="str">
        <f>"2013"</f>
        <v>2013</v>
      </c>
      <c r="AP186" s="4" t="str">
        <f>"0,00"</f>
        <v>0,00</v>
      </c>
      <c r="AQ186" s="4" t="str">
        <f>"2033-2035"</f>
        <v>2033-2035</v>
      </c>
      <c r="AR186" s="4" t="str">
        <f t="shared" si="203"/>
        <v>нет</v>
      </c>
      <c r="AS186" s="4" t="str">
        <f>""</f>
        <v/>
      </c>
      <c r="AT186" s="4" t="str">
        <f>""</f>
        <v/>
      </c>
      <c r="AU186" s="4" t="str">
        <f>""</f>
        <v/>
      </c>
      <c r="AV186" s="4" t="str">
        <f>""</f>
        <v/>
      </c>
      <c r="AW186" s="4" t="str">
        <f>""</f>
        <v/>
      </c>
      <c r="AX186" s="4" t="str">
        <f>""</f>
        <v/>
      </c>
      <c r="AY186" s="4" t="str">
        <f>""</f>
        <v/>
      </c>
      <c r="AZ186" s="4" t="str">
        <f>""</f>
        <v/>
      </c>
      <c r="BA186" s="4" t="str">
        <f>""</f>
        <v/>
      </c>
      <c r="BB186" s="4" t="str">
        <f>""</f>
        <v/>
      </c>
      <c r="BC186" s="4" t="str">
        <f>""</f>
        <v/>
      </c>
      <c r="BD186" s="4" t="str">
        <f>""</f>
        <v/>
      </c>
      <c r="BE186" s="4" t="str">
        <f>""</f>
        <v/>
      </c>
      <c r="BF186" s="4" t="str">
        <f>""</f>
        <v/>
      </c>
      <c r="BG186" s="4" t="str">
        <f>"1989"</f>
        <v>1989</v>
      </c>
      <c r="BH186" s="4" t="str">
        <f>"20,00"</f>
        <v>20,00</v>
      </c>
      <c r="BI186" s="4" t="str">
        <f>"2033-2035"</f>
        <v>2033-2035</v>
      </c>
      <c r="BJ186" s="4" t="str">
        <f t="shared" si="204"/>
        <v>нет</v>
      </c>
      <c r="BK186" s="4" t="str">
        <f>""</f>
        <v/>
      </c>
      <c r="BL186" s="4" t="str">
        <f>""</f>
        <v/>
      </c>
      <c r="BM186" s="4" t="str">
        <f>""</f>
        <v/>
      </c>
      <c r="BN186" s="4" t="str">
        <f t="shared" si="205"/>
        <v>нет</v>
      </c>
      <c r="BO186" s="4" t="str">
        <f>""</f>
        <v/>
      </c>
      <c r="BP186" s="4" t="str">
        <f>""</f>
        <v/>
      </c>
      <c r="BQ186" s="4" t="str">
        <f>""</f>
        <v/>
      </c>
      <c r="BR186" s="4" t="str">
        <f>"1989"</f>
        <v>1989</v>
      </c>
      <c r="BS186" s="4" t="str">
        <f>"20,00"</f>
        <v>20,00</v>
      </c>
      <c r="BT186" s="4" t="str">
        <f>"2033-2035"</f>
        <v>2033-2035</v>
      </c>
      <c r="BU186" s="4" t="str">
        <f t="shared" si="153"/>
        <v>нет</v>
      </c>
      <c r="BV186" s="4" t="str">
        <f t="shared" si="197"/>
        <v>x</v>
      </c>
      <c r="BW186" s="4" t="str">
        <f t="shared" si="197"/>
        <v>x</v>
      </c>
      <c r="BX186" s="4" t="str">
        <f t="shared" si="197"/>
        <v>x</v>
      </c>
      <c r="BY186" s="4" t="str">
        <f t="shared" si="192"/>
        <v>нет</v>
      </c>
      <c r="BZ186" s="4" t="str">
        <f t="shared" si="193"/>
        <v>x</v>
      </c>
      <c r="CA186" s="4" t="str">
        <f t="shared" si="193"/>
        <v>x</v>
      </c>
      <c r="CB186" s="4" t="str">
        <f t="shared" si="193"/>
        <v>x</v>
      </c>
      <c r="CC186" s="4" t="str">
        <f>"1989"</f>
        <v>1989</v>
      </c>
      <c r="CD186" s="4" t="str">
        <f>"20,00"</f>
        <v>20,00</v>
      </c>
      <c r="CE186" s="4" t="str">
        <f>"2033-2035"</f>
        <v>2033-2035</v>
      </c>
      <c r="CF186" s="4" t="str">
        <f>"1989"</f>
        <v>1989</v>
      </c>
      <c r="CG186" s="4" t="str">
        <f>"15,00"</f>
        <v>15,00</v>
      </c>
      <c r="CH186" s="4" t="str">
        <f>"2033-2035"</f>
        <v>2033-2035</v>
      </c>
      <c r="CI186" s="4" t="str">
        <f>"20,00"</f>
        <v>20,00</v>
      </c>
      <c r="CJ186" s="4" t="str">
        <f>"2033-2035"</f>
        <v>2033-2035</v>
      </c>
    </row>
    <row r="187" spans="1:88" ht="11.25" customHeight="1">
      <c r="A187" s="45" t="str">
        <f>"24.174"</f>
        <v>24.174</v>
      </c>
      <c r="B187" s="46" t="str">
        <f>"г. Харовск, ул.Молодежная, д.8"</f>
        <v>г. Харовск, ул.Молодежная, д.8</v>
      </c>
      <c r="C187" s="6" t="str">
        <f>"1982"</f>
        <v>1982</v>
      </c>
      <c r="D187" s="4" t="str">
        <f>"1982"</f>
        <v>1982</v>
      </c>
      <c r="E187" s="4" t="str">
        <f>"30,00"</f>
        <v>30,00</v>
      </c>
      <c r="F187" s="4" t="str">
        <f>"2029-2031"</f>
        <v>2029-2031</v>
      </c>
      <c r="G187" s="4" t="str">
        <f t="shared" si="191"/>
        <v>нет</v>
      </c>
      <c r="H187" s="4" t="str">
        <f>""</f>
        <v/>
      </c>
      <c r="I187" s="4" t="str">
        <f>""</f>
        <v/>
      </c>
      <c r="J187" s="4" t="str">
        <f>""</f>
        <v/>
      </c>
      <c r="K187" s="4" t="str">
        <f t="shared" si="151"/>
        <v>нет</v>
      </c>
      <c r="L187" s="4" t="str">
        <f>""</f>
        <v/>
      </c>
      <c r="M187" s="4" t="str">
        <f>""</f>
        <v/>
      </c>
      <c r="N187" s="4" t="str">
        <f>""</f>
        <v/>
      </c>
      <c r="O187" s="7" t="str">
        <f>"1982"</f>
        <v>1982</v>
      </c>
      <c r="P187" s="4" t="str">
        <f>"30,00"</f>
        <v>30,00</v>
      </c>
      <c r="Q187" s="4" t="str">
        <f>"2029-2031"</f>
        <v>2029-2031</v>
      </c>
      <c r="R187" s="4" t="str">
        <f>"да"</f>
        <v>да</v>
      </c>
      <c r="S187" s="4" t="str">
        <f>"2009"</f>
        <v>2009</v>
      </c>
      <c r="T187" s="4" t="str">
        <f>"90,00"</f>
        <v>90,00</v>
      </c>
      <c r="U187" s="4" t="str">
        <f>"2029-2031"</f>
        <v>2029-2031</v>
      </c>
      <c r="V187" s="4" t="str">
        <f t="shared" si="206"/>
        <v>нет</v>
      </c>
      <c r="W187" s="4" t="str">
        <f>""</f>
        <v/>
      </c>
      <c r="X187" s="4" t="str">
        <f>""</f>
        <v/>
      </c>
      <c r="Y187" s="8" t="str">
        <f>""</f>
        <v/>
      </c>
      <c r="Z187" s="4" t="str">
        <f t="shared" si="207"/>
        <v>х</v>
      </c>
      <c r="AA187" s="4" t="str">
        <f t="shared" si="207"/>
        <v>х</v>
      </c>
      <c r="AB187" s="4" t="str">
        <f t="shared" si="207"/>
        <v>х</v>
      </c>
      <c r="AC187" s="4" t="str">
        <f t="shared" si="207"/>
        <v>х</v>
      </c>
      <c r="AD187" s="4" t="str">
        <f t="shared" si="207"/>
        <v>х</v>
      </c>
      <c r="AE187" s="4" t="str">
        <f t="shared" si="207"/>
        <v>х</v>
      </c>
      <c r="AF187" s="4" t="str">
        <f t="shared" si="207"/>
        <v>х</v>
      </c>
      <c r="AG187" s="4" t="str">
        <f t="shared" si="207"/>
        <v>х</v>
      </c>
      <c r="AH187" s="4" t="str">
        <f t="shared" si="207"/>
        <v>х</v>
      </c>
      <c r="AI187" s="4" t="str">
        <f t="shared" si="207"/>
        <v>х</v>
      </c>
      <c r="AJ187" s="4" t="str">
        <f t="shared" si="207"/>
        <v>х</v>
      </c>
      <c r="AK187" s="7" t="str">
        <f>"1982"</f>
        <v>1982</v>
      </c>
      <c r="AL187" s="4" t="str">
        <f>"30,00"</f>
        <v>30,00</v>
      </c>
      <c r="AM187" s="4" t="str">
        <f>"2029-2031"</f>
        <v>2029-2031</v>
      </c>
      <c r="AN187" s="4" t="str">
        <f>"нет"</f>
        <v>нет</v>
      </c>
      <c r="AO187" s="4" t="str">
        <f>""</f>
        <v/>
      </c>
      <c r="AP187" s="4" t="str">
        <f>""</f>
        <v/>
      </c>
      <c r="AQ187" s="4" t="str">
        <f>""</f>
        <v/>
      </c>
      <c r="AR187" s="4" t="str">
        <f t="shared" si="203"/>
        <v>нет</v>
      </c>
      <c r="AS187" s="4" t="str">
        <f>""</f>
        <v/>
      </c>
      <c r="AT187" s="4" t="str">
        <f>""</f>
        <v/>
      </c>
      <c r="AU187" s="4" t="str">
        <f>""</f>
        <v/>
      </c>
      <c r="AV187" s="4" t="str">
        <f t="shared" ref="AV187:BF189" si="208">"х"</f>
        <v>х</v>
      </c>
      <c r="AW187" s="4" t="str">
        <f t="shared" si="208"/>
        <v>х</v>
      </c>
      <c r="AX187" s="4" t="str">
        <f t="shared" si="208"/>
        <v>х</v>
      </c>
      <c r="AY187" s="4" t="str">
        <f t="shared" si="208"/>
        <v>х</v>
      </c>
      <c r="AZ187" s="4" t="str">
        <f t="shared" si="208"/>
        <v>х</v>
      </c>
      <c r="BA187" s="4" t="str">
        <f t="shared" si="208"/>
        <v>х</v>
      </c>
      <c r="BB187" s="4" t="str">
        <f t="shared" si="208"/>
        <v>х</v>
      </c>
      <c r="BC187" s="4" t="str">
        <f t="shared" si="208"/>
        <v>х</v>
      </c>
      <c r="BD187" s="4" t="str">
        <f t="shared" si="208"/>
        <v>х</v>
      </c>
      <c r="BE187" s="4" t="str">
        <f t="shared" si="208"/>
        <v>х</v>
      </c>
      <c r="BF187" s="4" t="str">
        <f t="shared" si="208"/>
        <v>х</v>
      </c>
      <c r="BG187" s="4" t="str">
        <f>"1982"</f>
        <v>1982</v>
      </c>
      <c r="BH187" s="4" t="str">
        <f>"30,00"</f>
        <v>30,00</v>
      </c>
      <c r="BI187" s="4" t="str">
        <f>"2029-2031"</f>
        <v>2029-2031</v>
      </c>
      <c r="BJ187" s="4" t="str">
        <f t="shared" si="204"/>
        <v>нет</v>
      </c>
      <c r="BK187" s="4" t="str">
        <f>""</f>
        <v/>
      </c>
      <c r="BL187" s="4" t="str">
        <f>""</f>
        <v/>
      </c>
      <c r="BM187" s="4" t="str">
        <f>""</f>
        <v/>
      </c>
      <c r="BN187" s="4" t="str">
        <f t="shared" si="205"/>
        <v>нет</v>
      </c>
      <c r="BO187" s="4" t="str">
        <f>""</f>
        <v/>
      </c>
      <c r="BP187" s="4" t="str">
        <f>""</f>
        <v/>
      </c>
      <c r="BQ187" s="4" t="str">
        <f>""</f>
        <v/>
      </c>
      <c r="BR187" s="4" t="str">
        <f>"1982"</f>
        <v>1982</v>
      </c>
      <c r="BS187" s="4" t="str">
        <f>"40,00"</f>
        <v>40,00</v>
      </c>
      <c r="BT187" s="4" t="str">
        <f>"2029-2031"</f>
        <v>2029-2031</v>
      </c>
      <c r="BU187" s="4" t="str">
        <f t="shared" si="153"/>
        <v>нет</v>
      </c>
      <c r="BV187" s="4" t="str">
        <f t="shared" si="197"/>
        <v>x</v>
      </c>
      <c r="BW187" s="4" t="str">
        <f t="shared" si="197"/>
        <v>x</v>
      </c>
      <c r="BX187" s="4" t="str">
        <f t="shared" si="197"/>
        <v>x</v>
      </c>
      <c r="BY187" s="4" t="str">
        <f t="shared" si="192"/>
        <v>нет</v>
      </c>
      <c r="BZ187" s="4" t="str">
        <f t="shared" si="193"/>
        <v>x</v>
      </c>
      <c r="CA187" s="4" t="str">
        <f t="shared" si="193"/>
        <v>x</v>
      </c>
      <c r="CB187" s="4" t="str">
        <f t="shared" si="193"/>
        <v>x</v>
      </c>
      <c r="CC187" s="4" t="str">
        <f>"1982"</f>
        <v>1982</v>
      </c>
      <c r="CD187" s="4" t="str">
        <f>"30,00"</f>
        <v>30,00</v>
      </c>
      <c r="CE187" s="4" t="str">
        <f>"2029-2031"</f>
        <v>2029-2031</v>
      </c>
      <c r="CF187" s="4" t="str">
        <f>"1982"</f>
        <v>1982</v>
      </c>
      <c r="CG187" s="4" t="str">
        <f>"30,00"</f>
        <v>30,00</v>
      </c>
      <c r="CH187" s="4" t="str">
        <f>"2029-2031"</f>
        <v>2029-2031</v>
      </c>
      <c r="CI187" s="4" t="str">
        <f>"24,00"</f>
        <v>24,00</v>
      </c>
      <c r="CJ187" s="4" t="str">
        <f>"2029-2031"</f>
        <v>2029-2031</v>
      </c>
    </row>
    <row r="188" spans="1:88" ht="11.25" customHeight="1">
      <c r="A188" s="45" t="str">
        <f>"24.175"</f>
        <v>24.175</v>
      </c>
      <c r="B188" s="46" t="str">
        <f>"г. Харовск, ул.Музлесдрев, д.4"</f>
        <v>г. Харовск, ул.Музлесдрев, д.4</v>
      </c>
      <c r="C188" s="6" t="str">
        <f>"1987"</f>
        <v>1987</v>
      </c>
      <c r="D188" s="4" t="str">
        <f>"1987"</f>
        <v>1987</v>
      </c>
      <c r="E188" s="4" t="str">
        <f>"20,00"</f>
        <v>20,00</v>
      </c>
      <c r="F188" s="4" t="str">
        <f>"2032-2034"</f>
        <v>2032-2034</v>
      </c>
      <c r="G188" s="4" t="str">
        <f t="shared" si="191"/>
        <v>нет</v>
      </c>
      <c r="H188" s="4" t="str">
        <f>""</f>
        <v/>
      </c>
      <c r="I188" s="4" t="str">
        <f>""</f>
        <v/>
      </c>
      <c r="J188" s="4" t="str">
        <f>""</f>
        <v/>
      </c>
      <c r="K188" s="4" t="str">
        <f t="shared" si="151"/>
        <v>нет</v>
      </c>
      <c r="L188" s="4" t="str">
        <f>""</f>
        <v/>
      </c>
      <c r="M188" s="4" t="str">
        <f>""</f>
        <v/>
      </c>
      <c r="N188" s="4" t="str">
        <f>""</f>
        <v/>
      </c>
      <c r="O188" s="7" t="str">
        <f>"1987"</f>
        <v>1987</v>
      </c>
      <c r="P188" s="4" t="str">
        <f>"20,00"</f>
        <v>20,00</v>
      </c>
      <c r="Q188" s="4" t="str">
        <f>"2032-2034"</f>
        <v>2032-2034</v>
      </c>
      <c r="R188" s="4" t="str">
        <f>"нет"</f>
        <v>нет</v>
      </c>
      <c r="S188" s="4" t="str">
        <f>""</f>
        <v/>
      </c>
      <c r="T188" s="4" t="str">
        <f>""</f>
        <v/>
      </c>
      <c r="U188" s="4" t="str">
        <f>""</f>
        <v/>
      </c>
      <c r="V188" s="4" t="str">
        <f t="shared" si="206"/>
        <v>нет</v>
      </c>
      <c r="W188" s="4" t="str">
        <f>""</f>
        <v/>
      </c>
      <c r="X188" s="4" t="str">
        <f>""</f>
        <v/>
      </c>
      <c r="Y188" s="8" t="str">
        <f>""</f>
        <v/>
      </c>
      <c r="Z188" s="4" t="str">
        <f t="shared" si="207"/>
        <v>х</v>
      </c>
      <c r="AA188" s="4" t="str">
        <f t="shared" si="207"/>
        <v>х</v>
      </c>
      <c r="AB188" s="4" t="str">
        <f t="shared" si="207"/>
        <v>х</v>
      </c>
      <c r="AC188" s="4" t="str">
        <f t="shared" si="207"/>
        <v>х</v>
      </c>
      <c r="AD188" s="4" t="str">
        <f t="shared" si="207"/>
        <v>х</v>
      </c>
      <c r="AE188" s="4" t="str">
        <f t="shared" si="207"/>
        <v>х</v>
      </c>
      <c r="AF188" s="4" t="str">
        <f t="shared" si="207"/>
        <v>х</v>
      </c>
      <c r="AG188" s="4" t="str">
        <f t="shared" si="207"/>
        <v>х</v>
      </c>
      <c r="AH188" s="4" t="str">
        <f t="shared" si="207"/>
        <v>х</v>
      </c>
      <c r="AI188" s="4" t="str">
        <f t="shared" si="207"/>
        <v>х</v>
      </c>
      <c r="AJ188" s="4" t="str">
        <f t="shared" si="207"/>
        <v>х</v>
      </c>
      <c r="AK188" s="7" t="str">
        <f>"1987"</f>
        <v>1987</v>
      </c>
      <c r="AL188" s="4" t="str">
        <f>"20,00"</f>
        <v>20,00</v>
      </c>
      <c r="AM188" s="4" t="str">
        <f>"2032-2034"</f>
        <v>2032-2034</v>
      </c>
      <c r="AN188" s="4" t="str">
        <f>"да"</f>
        <v>да</v>
      </c>
      <c r="AO188" s="4" t="str">
        <f>"2013"</f>
        <v>2013</v>
      </c>
      <c r="AP188" s="4" t="str">
        <f>"0,00"</f>
        <v>0,00</v>
      </c>
      <c r="AQ188" s="4" t="str">
        <f>"2032-2034"</f>
        <v>2032-2034</v>
      </c>
      <c r="AR188" s="4" t="str">
        <f t="shared" si="203"/>
        <v>нет</v>
      </c>
      <c r="AS188" s="4" t="str">
        <f>""</f>
        <v/>
      </c>
      <c r="AT188" s="4" t="str">
        <f>""</f>
        <v/>
      </c>
      <c r="AU188" s="4" t="str">
        <f>""</f>
        <v/>
      </c>
      <c r="AV188" s="4" t="str">
        <f t="shared" si="208"/>
        <v>х</v>
      </c>
      <c r="AW188" s="4" t="str">
        <f t="shared" si="208"/>
        <v>х</v>
      </c>
      <c r="AX188" s="4" t="str">
        <f t="shared" si="208"/>
        <v>х</v>
      </c>
      <c r="AY188" s="4" t="str">
        <f t="shared" si="208"/>
        <v>х</v>
      </c>
      <c r="AZ188" s="4" t="str">
        <f t="shared" si="208"/>
        <v>х</v>
      </c>
      <c r="BA188" s="4" t="str">
        <f t="shared" si="208"/>
        <v>х</v>
      </c>
      <c r="BB188" s="4" t="str">
        <f t="shared" si="208"/>
        <v>х</v>
      </c>
      <c r="BC188" s="4" t="str">
        <f t="shared" si="208"/>
        <v>х</v>
      </c>
      <c r="BD188" s="4" t="str">
        <f t="shared" si="208"/>
        <v>х</v>
      </c>
      <c r="BE188" s="4" t="str">
        <f t="shared" si="208"/>
        <v>х</v>
      </c>
      <c r="BF188" s="4" t="str">
        <f t="shared" si="208"/>
        <v>х</v>
      </c>
      <c r="BG188" s="4" t="str">
        <f>"1987"</f>
        <v>1987</v>
      </c>
      <c r="BH188" s="4" t="str">
        <f>"20,00"</f>
        <v>20,00</v>
      </c>
      <c r="BI188" s="4" t="str">
        <f>"2032-2034"</f>
        <v>2032-2034</v>
      </c>
      <c r="BJ188" s="4" t="str">
        <f t="shared" si="204"/>
        <v>нет</v>
      </c>
      <c r="BK188" s="4" t="str">
        <f>""</f>
        <v/>
      </c>
      <c r="BL188" s="4" t="str">
        <f>""</f>
        <v/>
      </c>
      <c r="BM188" s="4" t="str">
        <f>""</f>
        <v/>
      </c>
      <c r="BN188" s="4" t="str">
        <f t="shared" si="205"/>
        <v>нет</v>
      </c>
      <c r="BO188" s="4" t="str">
        <f>""</f>
        <v/>
      </c>
      <c r="BP188" s="4" t="str">
        <f>""</f>
        <v/>
      </c>
      <c r="BQ188" s="4" t="str">
        <f>""</f>
        <v/>
      </c>
      <c r="BR188" s="4" t="str">
        <f>"1987"</f>
        <v>1987</v>
      </c>
      <c r="BS188" s="4" t="str">
        <f>"20,00"</f>
        <v>20,00</v>
      </c>
      <c r="BT188" s="4" t="str">
        <f>"2032-2034"</f>
        <v>2032-2034</v>
      </c>
      <c r="BU188" s="4" t="str">
        <f t="shared" si="153"/>
        <v>нет</v>
      </c>
      <c r="BV188" s="4" t="str">
        <f t="shared" si="197"/>
        <v>x</v>
      </c>
      <c r="BW188" s="4" t="str">
        <f t="shared" si="197"/>
        <v>x</v>
      </c>
      <c r="BX188" s="4" t="str">
        <f t="shared" si="197"/>
        <v>x</v>
      </c>
      <c r="BY188" s="4" t="str">
        <f t="shared" si="192"/>
        <v>нет</v>
      </c>
      <c r="BZ188" s="4" t="str">
        <f t="shared" si="193"/>
        <v>x</v>
      </c>
      <c r="CA188" s="4" t="str">
        <f t="shared" si="193"/>
        <v>x</v>
      </c>
      <c r="CB188" s="4" t="str">
        <f t="shared" si="193"/>
        <v>x</v>
      </c>
      <c r="CC188" s="4" t="str">
        <f>"1987"</f>
        <v>1987</v>
      </c>
      <c r="CD188" s="4" t="str">
        <f>"20,00"</f>
        <v>20,00</v>
      </c>
      <c r="CE188" s="4" t="str">
        <f>"2032-2034"</f>
        <v>2032-2034</v>
      </c>
      <c r="CF188" s="4" t="str">
        <f>"1987"</f>
        <v>1987</v>
      </c>
      <c r="CG188" s="4" t="str">
        <f>"15,00"</f>
        <v>15,00</v>
      </c>
      <c r="CH188" s="4" t="str">
        <f>"2032-2034"</f>
        <v>2032-2034</v>
      </c>
      <c r="CI188" s="4" t="str">
        <f>"22,00"</f>
        <v>22,00</v>
      </c>
      <c r="CJ188" s="4" t="str">
        <f>"2032-2034"</f>
        <v>2032-2034</v>
      </c>
    </row>
    <row r="189" spans="1:88" ht="11.25" customHeight="1">
      <c r="A189" s="45" t="str">
        <f>"24.176"</f>
        <v>24.176</v>
      </c>
      <c r="B189" s="46" t="str">
        <f>"г. Харовск, ул.Музлесдрев, д.6"</f>
        <v>г. Харовск, ул.Музлесдрев, д.6</v>
      </c>
      <c r="C189" s="6" t="str">
        <f>"1988"</f>
        <v>1988</v>
      </c>
      <c r="D189" s="4" t="str">
        <f>"1988"</f>
        <v>1988</v>
      </c>
      <c r="E189" s="4" t="str">
        <f>"20,00"</f>
        <v>20,00</v>
      </c>
      <c r="F189" s="4" t="str">
        <f>"2033-2035"</f>
        <v>2033-2035</v>
      </c>
      <c r="G189" s="4" t="str">
        <f t="shared" si="191"/>
        <v>нет</v>
      </c>
      <c r="H189" s="4" t="str">
        <f>""</f>
        <v/>
      </c>
      <c r="I189" s="4" t="str">
        <f>""</f>
        <v/>
      </c>
      <c r="J189" s="4" t="str">
        <f>""</f>
        <v/>
      </c>
      <c r="K189" s="4" t="str">
        <f t="shared" si="151"/>
        <v>нет</v>
      </c>
      <c r="L189" s="4" t="str">
        <f>""</f>
        <v/>
      </c>
      <c r="M189" s="4" t="str">
        <f>""</f>
        <v/>
      </c>
      <c r="N189" s="4" t="str">
        <f>""</f>
        <v/>
      </c>
      <c r="O189" s="7" t="str">
        <f>"1988"</f>
        <v>1988</v>
      </c>
      <c r="P189" s="4" t="str">
        <f>"20,00"</f>
        <v>20,00</v>
      </c>
      <c r="Q189" s="4" t="str">
        <f>"2033-2035"</f>
        <v>2033-2035</v>
      </c>
      <c r="R189" s="4" t="str">
        <f>"нет"</f>
        <v>нет</v>
      </c>
      <c r="S189" s="4" t="str">
        <f>""</f>
        <v/>
      </c>
      <c r="T189" s="4" t="str">
        <f>""</f>
        <v/>
      </c>
      <c r="U189" s="4" t="str">
        <f>""</f>
        <v/>
      </c>
      <c r="V189" s="4" t="str">
        <f t="shared" si="206"/>
        <v>нет</v>
      </c>
      <c r="W189" s="4" t="str">
        <f>""</f>
        <v/>
      </c>
      <c r="X189" s="4" t="str">
        <f>""</f>
        <v/>
      </c>
      <c r="Y189" s="8" t="str">
        <f>""</f>
        <v/>
      </c>
      <c r="Z189" s="4" t="str">
        <f t="shared" si="207"/>
        <v>х</v>
      </c>
      <c r="AA189" s="4" t="str">
        <f t="shared" si="207"/>
        <v>х</v>
      </c>
      <c r="AB189" s="4" t="str">
        <f t="shared" si="207"/>
        <v>х</v>
      </c>
      <c r="AC189" s="4" t="str">
        <f t="shared" si="207"/>
        <v>х</v>
      </c>
      <c r="AD189" s="4" t="str">
        <f t="shared" si="207"/>
        <v>х</v>
      </c>
      <c r="AE189" s="4" t="str">
        <f t="shared" si="207"/>
        <v>х</v>
      </c>
      <c r="AF189" s="4" t="str">
        <f t="shared" si="207"/>
        <v>х</v>
      </c>
      <c r="AG189" s="4" t="str">
        <f t="shared" si="207"/>
        <v>х</v>
      </c>
      <c r="AH189" s="4" t="str">
        <f t="shared" si="207"/>
        <v>х</v>
      </c>
      <c r="AI189" s="4" t="str">
        <f t="shared" si="207"/>
        <v>х</v>
      </c>
      <c r="AJ189" s="4" t="str">
        <f t="shared" si="207"/>
        <v>х</v>
      </c>
      <c r="AK189" s="7" t="str">
        <f>"1988"</f>
        <v>1988</v>
      </c>
      <c r="AL189" s="4" t="str">
        <f>"20,00"</f>
        <v>20,00</v>
      </c>
      <c r="AM189" s="4" t="str">
        <f>"2033-2035"</f>
        <v>2033-2035</v>
      </c>
      <c r="AN189" s="4" t="str">
        <f>"да"</f>
        <v>да</v>
      </c>
      <c r="AO189" s="4" t="str">
        <f>"2013"</f>
        <v>2013</v>
      </c>
      <c r="AP189" s="4" t="str">
        <f>"0,00"</f>
        <v>0,00</v>
      </c>
      <c r="AQ189" s="4" t="str">
        <f>"2033-2035"</f>
        <v>2033-2035</v>
      </c>
      <c r="AR189" s="4" t="str">
        <f t="shared" si="203"/>
        <v>нет</v>
      </c>
      <c r="AS189" s="4" t="str">
        <f>""</f>
        <v/>
      </c>
      <c r="AT189" s="4" t="str">
        <f>""</f>
        <v/>
      </c>
      <c r="AU189" s="4" t="str">
        <f>""</f>
        <v/>
      </c>
      <c r="AV189" s="4" t="str">
        <f t="shared" si="208"/>
        <v>х</v>
      </c>
      <c r="AW189" s="4" t="str">
        <f t="shared" si="208"/>
        <v>х</v>
      </c>
      <c r="AX189" s="4" t="str">
        <f t="shared" si="208"/>
        <v>х</v>
      </c>
      <c r="AY189" s="4" t="str">
        <f t="shared" si="208"/>
        <v>х</v>
      </c>
      <c r="AZ189" s="4" t="str">
        <f t="shared" si="208"/>
        <v>х</v>
      </c>
      <c r="BA189" s="4" t="str">
        <f t="shared" si="208"/>
        <v>х</v>
      </c>
      <c r="BB189" s="4" t="str">
        <f t="shared" si="208"/>
        <v>х</v>
      </c>
      <c r="BC189" s="4" t="str">
        <f t="shared" si="208"/>
        <v>х</v>
      </c>
      <c r="BD189" s="4" t="str">
        <f t="shared" si="208"/>
        <v>х</v>
      </c>
      <c r="BE189" s="4" t="str">
        <f t="shared" si="208"/>
        <v>х</v>
      </c>
      <c r="BF189" s="4" t="str">
        <f t="shared" si="208"/>
        <v>х</v>
      </c>
      <c r="BG189" s="4" t="str">
        <f>"1988"</f>
        <v>1988</v>
      </c>
      <c r="BH189" s="4" t="str">
        <f>"20,00"</f>
        <v>20,00</v>
      </c>
      <c r="BI189" s="4" t="str">
        <f>"2033-2035"</f>
        <v>2033-2035</v>
      </c>
      <c r="BJ189" s="4" t="str">
        <f t="shared" si="204"/>
        <v>нет</v>
      </c>
      <c r="BK189" s="4" t="str">
        <f>""</f>
        <v/>
      </c>
      <c r="BL189" s="4" t="str">
        <f>""</f>
        <v/>
      </c>
      <c r="BM189" s="4" t="str">
        <f>""</f>
        <v/>
      </c>
      <c r="BN189" s="4" t="str">
        <f t="shared" si="205"/>
        <v>нет</v>
      </c>
      <c r="BO189" s="4" t="str">
        <f>""</f>
        <v/>
      </c>
      <c r="BP189" s="4" t="str">
        <f>""</f>
        <v/>
      </c>
      <c r="BQ189" s="4" t="str">
        <f>""</f>
        <v/>
      </c>
      <c r="BR189" s="4" t="str">
        <f>"1988"</f>
        <v>1988</v>
      </c>
      <c r="BS189" s="4" t="str">
        <f>"25,00"</f>
        <v>25,00</v>
      </c>
      <c r="BT189" s="4" t="str">
        <f>"2033-2035"</f>
        <v>2033-2035</v>
      </c>
      <c r="BU189" s="4" t="str">
        <f t="shared" si="153"/>
        <v>нет</v>
      </c>
      <c r="BV189" s="4" t="str">
        <f t="shared" si="197"/>
        <v>x</v>
      </c>
      <c r="BW189" s="4" t="str">
        <f t="shared" si="197"/>
        <v>x</v>
      </c>
      <c r="BX189" s="4" t="str">
        <f t="shared" si="197"/>
        <v>x</v>
      </c>
      <c r="BY189" s="4" t="str">
        <f t="shared" si="192"/>
        <v>нет</v>
      </c>
      <c r="BZ189" s="4" t="str">
        <f t="shared" si="193"/>
        <v>x</v>
      </c>
      <c r="CA189" s="4" t="str">
        <f t="shared" si="193"/>
        <v>x</v>
      </c>
      <c r="CB189" s="4" t="str">
        <f t="shared" si="193"/>
        <v>x</v>
      </c>
      <c r="CC189" s="4" t="str">
        <f>"1988"</f>
        <v>1988</v>
      </c>
      <c r="CD189" s="4" t="str">
        <f>"20,00"</f>
        <v>20,00</v>
      </c>
      <c r="CE189" s="4" t="str">
        <f>"2033-2035"</f>
        <v>2033-2035</v>
      </c>
      <c r="CF189" s="4" t="str">
        <f>"1988"</f>
        <v>1988</v>
      </c>
      <c r="CG189" s="4" t="str">
        <f>"15,00"</f>
        <v>15,00</v>
      </c>
      <c r="CH189" s="4" t="str">
        <f>"2033-2035"</f>
        <v>2033-2035</v>
      </c>
      <c r="CI189" s="4" t="str">
        <f>"22,00"</f>
        <v>22,00</v>
      </c>
      <c r="CJ189" s="4" t="str">
        <f>"2033-2035"</f>
        <v>2033-2035</v>
      </c>
    </row>
    <row r="190" spans="1:88" ht="11.25" customHeight="1">
      <c r="A190" s="45" t="str">
        <f>"24.177"</f>
        <v>24.177</v>
      </c>
      <c r="B190" s="46" t="str">
        <f>"г. Харовск, ул.Октябрьская, д.2"</f>
        <v>г. Харовск, ул.Октябрьская, д.2</v>
      </c>
      <c r="C190" s="6" t="str">
        <f>"1990"</f>
        <v>1990</v>
      </c>
      <c r="D190" s="4" t="str">
        <f>"1990"</f>
        <v>1990</v>
      </c>
      <c r="E190" s="4" t="str">
        <f>"20,00"</f>
        <v>20,00</v>
      </c>
      <c r="F190" s="4" t="str">
        <f>"2034-2036"</f>
        <v>2034-2036</v>
      </c>
      <c r="G190" s="4" t="str">
        <f t="shared" si="191"/>
        <v>нет</v>
      </c>
      <c r="H190" s="4" t="str">
        <f>""</f>
        <v/>
      </c>
      <c r="I190" s="4" t="str">
        <f>""</f>
        <v/>
      </c>
      <c r="J190" s="4" t="str">
        <f>""</f>
        <v/>
      </c>
      <c r="K190" s="4" t="str">
        <f t="shared" si="151"/>
        <v>нет</v>
      </c>
      <c r="L190" s="4" t="str">
        <f>""</f>
        <v/>
      </c>
      <c r="M190" s="4" t="str">
        <f>""</f>
        <v/>
      </c>
      <c r="N190" s="4" t="str">
        <f>""</f>
        <v/>
      </c>
      <c r="O190" s="7" t="str">
        <f>"1990"</f>
        <v>1990</v>
      </c>
      <c r="P190" s="4" t="str">
        <f>"20,00"</f>
        <v>20,00</v>
      </c>
      <c r="Q190" s="4" t="str">
        <f>"2034-2036"</f>
        <v>2034-2036</v>
      </c>
      <c r="R190" s="4" t="str">
        <f>"да"</f>
        <v>да</v>
      </c>
      <c r="S190" s="4" t="str">
        <f>"2009"</f>
        <v>2009</v>
      </c>
      <c r="T190" s="4" t="str">
        <f>"90,00"</f>
        <v>90,00</v>
      </c>
      <c r="U190" s="4" t="str">
        <f>"2034-2036"</f>
        <v>2034-2036</v>
      </c>
      <c r="V190" s="4" t="str">
        <f t="shared" si="206"/>
        <v>нет</v>
      </c>
      <c r="W190" s="4" t="str">
        <f>""</f>
        <v/>
      </c>
      <c r="X190" s="4" t="str">
        <f>""</f>
        <v/>
      </c>
      <c r="Y190" s="8" t="str">
        <f>""</f>
        <v/>
      </c>
      <c r="Z190" s="4" t="str">
        <f>"1990"</f>
        <v>1990</v>
      </c>
      <c r="AA190" s="4" t="str">
        <f>"20,00"</f>
        <v>20,00</v>
      </c>
      <c r="AB190" s="4" t="str">
        <f>"2034-2036"</f>
        <v>2034-2036</v>
      </c>
      <c r="AC190" s="4" t="str">
        <f>"нет"</f>
        <v>нет</v>
      </c>
      <c r="AD190" s="4" t="str">
        <f>""</f>
        <v/>
      </c>
      <c r="AE190" s="4" t="str">
        <f>""</f>
        <v/>
      </c>
      <c r="AF190" s="4" t="str">
        <f>""</f>
        <v/>
      </c>
      <c r="AG190" s="4" t="str">
        <f>"нет"</f>
        <v>нет</v>
      </c>
      <c r="AH190" s="4" t="str">
        <f>""</f>
        <v/>
      </c>
      <c r="AI190" s="4" t="str">
        <f>""</f>
        <v/>
      </c>
      <c r="AJ190" s="4" t="str">
        <f>""</f>
        <v/>
      </c>
      <c r="AK190" s="7" t="str">
        <f>"1990"</f>
        <v>1990</v>
      </c>
      <c r="AL190" s="4" t="str">
        <f>"20,00"</f>
        <v>20,00</v>
      </c>
      <c r="AM190" s="4" t="str">
        <f>"2034-2036"</f>
        <v>2034-2036</v>
      </c>
      <c r="AN190" s="4" t="str">
        <f>"да"</f>
        <v>да</v>
      </c>
      <c r="AO190" s="4" t="str">
        <f>"2013"</f>
        <v>2013</v>
      </c>
      <c r="AP190" s="4" t="str">
        <f>"0,00"</f>
        <v>0,00</v>
      </c>
      <c r="AQ190" s="4" t="str">
        <f>"2034-2036"</f>
        <v>2034-2036</v>
      </c>
      <c r="AR190" s="4" t="str">
        <f t="shared" si="203"/>
        <v>нет</v>
      </c>
      <c r="AS190" s="4" t="str">
        <f>""</f>
        <v/>
      </c>
      <c r="AT190" s="4" t="str">
        <f>""</f>
        <v/>
      </c>
      <c r="AU190" s="4" t="str">
        <f>""</f>
        <v/>
      </c>
      <c r="AV190" s="4" t="str">
        <f>"1990"</f>
        <v>1990</v>
      </c>
      <c r="AW190" s="4" t="str">
        <f>"20,00"</f>
        <v>20,00</v>
      </c>
      <c r="AX190" s="4" t="str">
        <f>"2034-2036"</f>
        <v>2034-2036</v>
      </c>
      <c r="AY190" s="4" t="str">
        <f>"нет"</f>
        <v>нет</v>
      </c>
      <c r="AZ190" s="4" t="str">
        <f>""</f>
        <v/>
      </c>
      <c r="BA190" s="4" t="str">
        <f>""</f>
        <v/>
      </c>
      <c r="BB190" s="4" t="str">
        <f>""</f>
        <v/>
      </c>
      <c r="BC190" s="4" t="str">
        <f>"нет"</f>
        <v>нет</v>
      </c>
      <c r="BD190" s="4" t="str">
        <f>""</f>
        <v/>
      </c>
      <c r="BE190" s="4" t="str">
        <f>""</f>
        <v/>
      </c>
      <c r="BF190" s="4" t="str">
        <f>""</f>
        <v/>
      </c>
      <c r="BG190" s="4" t="str">
        <f>"1990"</f>
        <v>1990</v>
      </c>
      <c r="BH190" s="4" t="str">
        <f>"20,00"</f>
        <v>20,00</v>
      </c>
      <c r="BI190" s="4" t="str">
        <f>"2034-2036"</f>
        <v>2034-2036</v>
      </c>
      <c r="BJ190" s="4" t="str">
        <f t="shared" si="204"/>
        <v>нет</v>
      </c>
      <c r="BK190" s="4" t="str">
        <f>""</f>
        <v/>
      </c>
      <c r="BL190" s="4" t="str">
        <f>""</f>
        <v/>
      </c>
      <c r="BM190" s="4" t="str">
        <f>""</f>
        <v/>
      </c>
      <c r="BN190" s="4" t="str">
        <f t="shared" si="205"/>
        <v>нет</v>
      </c>
      <c r="BO190" s="4" t="str">
        <f>""</f>
        <v/>
      </c>
      <c r="BP190" s="4" t="str">
        <f>""</f>
        <v/>
      </c>
      <c r="BQ190" s="4" t="str">
        <f>""</f>
        <v/>
      </c>
      <c r="BR190" s="4" t="str">
        <f>"1990"</f>
        <v>1990</v>
      </c>
      <c r="BS190" s="4" t="str">
        <f>"30,00"</f>
        <v>30,00</v>
      </c>
      <c r="BT190" s="4" t="str">
        <f>"2034-2036"</f>
        <v>2034-2036</v>
      </c>
      <c r="BU190" s="4" t="str">
        <f t="shared" si="153"/>
        <v>нет</v>
      </c>
      <c r="BV190" s="4" t="str">
        <f t="shared" si="197"/>
        <v>x</v>
      </c>
      <c r="BW190" s="4" t="str">
        <f t="shared" si="197"/>
        <v>x</v>
      </c>
      <c r="BX190" s="4" t="str">
        <f t="shared" si="197"/>
        <v>x</v>
      </c>
      <c r="BY190" s="4" t="str">
        <f t="shared" si="192"/>
        <v>нет</v>
      </c>
      <c r="BZ190" s="4" t="str">
        <f t="shared" si="193"/>
        <v>x</v>
      </c>
      <c r="CA190" s="4" t="str">
        <f t="shared" si="193"/>
        <v>x</v>
      </c>
      <c r="CB190" s="4" t="str">
        <f t="shared" si="193"/>
        <v>x</v>
      </c>
      <c r="CC190" s="4" t="str">
        <f>"1990"</f>
        <v>1990</v>
      </c>
      <c r="CD190" s="4" t="str">
        <f>"20,00"</f>
        <v>20,00</v>
      </c>
      <c r="CE190" s="4" t="str">
        <f>"2034-2036"</f>
        <v>2034-2036</v>
      </c>
      <c r="CF190" s="4" t="str">
        <f>"1990"</f>
        <v>1990</v>
      </c>
      <c r="CG190" s="4" t="str">
        <f>"15,00"</f>
        <v>15,00</v>
      </c>
      <c r="CH190" s="4" t="str">
        <f>"2034-2036"</f>
        <v>2034-2036</v>
      </c>
      <c r="CI190" s="4" t="str">
        <f>"16,00"</f>
        <v>16,00</v>
      </c>
      <c r="CJ190" s="4" t="str">
        <f>"2034-2036"</f>
        <v>2034-2036</v>
      </c>
    </row>
    <row r="191" spans="1:88" ht="11.25" customHeight="1">
      <c r="A191" s="45" t="str">
        <f>"24.178"</f>
        <v>24.178</v>
      </c>
      <c r="B191" s="46" t="str">
        <f>"г. Харовск, ул.Октябрьская, д.24"</f>
        <v>г. Харовск, ул.Октябрьская, д.24</v>
      </c>
      <c r="C191" s="6" t="str">
        <f>"1990"</f>
        <v>1990</v>
      </c>
      <c r="D191" s="4" t="str">
        <f>"1990"</f>
        <v>1990</v>
      </c>
      <c r="E191" s="4" t="str">
        <f>"25,00"</f>
        <v>25,00</v>
      </c>
      <c r="F191" s="4" t="str">
        <f>"2034-2036"</f>
        <v>2034-2036</v>
      </c>
      <c r="G191" s="4" t="str">
        <f>"да"</f>
        <v>да</v>
      </c>
      <c r="H191" s="4" t="str">
        <f>"2013"</f>
        <v>2013</v>
      </c>
      <c r="I191" s="4" t="str">
        <f>"0,00"</f>
        <v>0,00</v>
      </c>
      <c r="J191" s="4" t="str">
        <f>"2034-2036"</f>
        <v>2034-2036</v>
      </c>
      <c r="K191" s="4" t="str">
        <f t="shared" si="151"/>
        <v>нет</v>
      </c>
      <c r="L191" s="4" t="str">
        <f>""</f>
        <v/>
      </c>
      <c r="M191" s="4" t="str">
        <f>""</f>
        <v/>
      </c>
      <c r="N191" s="4" t="str">
        <f>""</f>
        <v/>
      </c>
      <c r="O191" s="7" t="str">
        <f>"1990"</f>
        <v>1990</v>
      </c>
      <c r="P191" s="4" t="str">
        <f>"25,00"</f>
        <v>25,00</v>
      </c>
      <c r="Q191" s="4" t="str">
        <f>"2034-2036"</f>
        <v>2034-2036</v>
      </c>
      <c r="R191" s="4" t="str">
        <f>"нет"</f>
        <v>нет</v>
      </c>
      <c r="S191" s="4" t="str">
        <f>""</f>
        <v/>
      </c>
      <c r="T191" s="4" t="str">
        <f>""</f>
        <v/>
      </c>
      <c r="U191" s="4" t="str">
        <f>""</f>
        <v/>
      </c>
      <c r="V191" s="4" t="str">
        <f t="shared" si="206"/>
        <v>нет</v>
      </c>
      <c r="W191" s="4" t="str">
        <f>""</f>
        <v/>
      </c>
      <c r="X191" s="4" t="str">
        <f>""</f>
        <v/>
      </c>
      <c r="Y191" s="8" t="str">
        <f>""</f>
        <v/>
      </c>
      <c r="Z191" s="4" t="str">
        <f t="shared" ref="Z191:AJ191" si="209">"х"</f>
        <v>х</v>
      </c>
      <c r="AA191" s="4" t="str">
        <f t="shared" si="209"/>
        <v>х</v>
      </c>
      <c r="AB191" s="4" t="str">
        <f t="shared" si="209"/>
        <v>х</v>
      </c>
      <c r="AC191" s="4" t="str">
        <f t="shared" si="209"/>
        <v>х</v>
      </c>
      <c r="AD191" s="4" t="str">
        <f t="shared" si="209"/>
        <v>х</v>
      </c>
      <c r="AE191" s="4" t="str">
        <f t="shared" si="209"/>
        <v>х</v>
      </c>
      <c r="AF191" s="4" t="str">
        <f t="shared" si="209"/>
        <v>х</v>
      </c>
      <c r="AG191" s="4" t="str">
        <f t="shared" si="209"/>
        <v>х</v>
      </c>
      <c r="AH191" s="4" t="str">
        <f t="shared" si="209"/>
        <v>х</v>
      </c>
      <c r="AI191" s="4" t="str">
        <f t="shared" si="209"/>
        <v>х</v>
      </c>
      <c r="AJ191" s="4" t="str">
        <f t="shared" si="209"/>
        <v>х</v>
      </c>
      <c r="AK191" s="7" t="str">
        <f>"1990"</f>
        <v>1990</v>
      </c>
      <c r="AL191" s="4" t="str">
        <f>"25,00"</f>
        <v>25,00</v>
      </c>
      <c r="AM191" s="4" t="str">
        <f>"2034-2036"</f>
        <v>2034-2036</v>
      </c>
      <c r="AN191" s="4" t="str">
        <f>"нет"</f>
        <v>нет</v>
      </c>
      <c r="AO191" s="4" t="str">
        <f>""</f>
        <v/>
      </c>
      <c r="AP191" s="4" t="str">
        <f>""</f>
        <v/>
      </c>
      <c r="AQ191" s="4" t="str">
        <f>""</f>
        <v/>
      </c>
      <c r="AR191" s="4" t="str">
        <f t="shared" si="203"/>
        <v>нет</v>
      </c>
      <c r="AS191" s="4" t="str">
        <f>""</f>
        <v/>
      </c>
      <c r="AT191" s="4" t="str">
        <f>""</f>
        <v/>
      </c>
      <c r="AU191" s="4" t="str">
        <f>""</f>
        <v/>
      </c>
      <c r="AV191" s="4" t="str">
        <f t="shared" ref="AV191:BF191" si="210">"х"</f>
        <v>х</v>
      </c>
      <c r="AW191" s="4" t="str">
        <f t="shared" si="210"/>
        <v>х</v>
      </c>
      <c r="AX191" s="4" t="str">
        <f t="shared" si="210"/>
        <v>х</v>
      </c>
      <c r="AY191" s="4" t="str">
        <f t="shared" si="210"/>
        <v>х</v>
      </c>
      <c r="AZ191" s="4" t="str">
        <f t="shared" si="210"/>
        <v>х</v>
      </c>
      <c r="BA191" s="4" t="str">
        <f t="shared" si="210"/>
        <v>х</v>
      </c>
      <c r="BB191" s="4" t="str">
        <f t="shared" si="210"/>
        <v>х</v>
      </c>
      <c r="BC191" s="4" t="str">
        <f t="shared" si="210"/>
        <v>х</v>
      </c>
      <c r="BD191" s="4" t="str">
        <f t="shared" si="210"/>
        <v>х</v>
      </c>
      <c r="BE191" s="4" t="str">
        <f t="shared" si="210"/>
        <v>х</v>
      </c>
      <c r="BF191" s="4" t="str">
        <f t="shared" si="210"/>
        <v>х</v>
      </c>
      <c r="BG191" s="4" t="str">
        <f>"1990"</f>
        <v>1990</v>
      </c>
      <c r="BH191" s="4" t="str">
        <f>"25,00"</f>
        <v>25,00</v>
      </c>
      <c r="BI191" s="4" t="str">
        <f>"2034-2036"</f>
        <v>2034-2036</v>
      </c>
      <c r="BJ191" s="4" t="str">
        <f t="shared" si="204"/>
        <v>нет</v>
      </c>
      <c r="BK191" s="4" t="str">
        <f>""</f>
        <v/>
      </c>
      <c r="BL191" s="4" t="str">
        <f>""</f>
        <v/>
      </c>
      <c r="BM191" s="4" t="str">
        <f>""</f>
        <v/>
      </c>
      <c r="BN191" s="4" t="str">
        <f t="shared" si="205"/>
        <v>нет</v>
      </c>
      <c r="BO191" s="4" t="str">
        <f>""</f>
        <v/>
      </c>
      <c r="BP191" s="4" t="str">
        <f>""</f>
        <v/>
      </c>
      <c r="BQ191" s="4" t="str">
        <f>""</f>
        <v/>
      </c>
      <c r="BR191" s="4" t="str">
        <f>"1990"</f>
        <v>1990</v>
      </c>
      <c r="BS191" s="4" t="str">
        <f>"40,00"</f>
        <v>40,00</v>
      </c>
      <c r="BT191" s="4" t="str">
        <f>"2034-2036"</f>
        <v>2034-2036</v>
      </c>
      <c r="BU191" s="4" t="str">
        <f t="shared" si="153"/>
        <v>нет</v>
      </c>
      <c r="BV191" s="4" t="str">
        <f t="shared" si="197"/>
        <v>x</v>
      </c>
      <c r="BW191" s="4" t="str">
        <f t="shared" si="197"/>
        <v>x</v>
      </c>
      <c r="BX191" s="4" t="str">
        <f t="shared" si="197"/>
        <v>x</v>
      </c>
      <c r="BY191" s="4" t="str">
        <f t="shared" si="192"/>
        <v>нет</v>
      </c>
      <c r="BZ191" s="4" t="str">
        <f t="shared" si="193"/>
        <v>x</v>
      </c>
      <c r="CA191" s="4" t="str">
        <f t="shared" si="193"/>
        <v>x</v>
      </c>
      <c r="CB191" s="4" t="str">
        <f t="shared" si="193"/>
        <v>x</v>
      </c>
      <c r="CC191" s="4" t="str">
        <f>"1990"</f>
        <v>1990</v>
      </c>
      <c r="CD191" s="4" t="str">
        <f>"30,00"</f>
        <v>30,00</v>
      </c>
      <c r="CE191" s="4" t="str">
        <f>"2034-2036"</f>
        <v>2034-2036</v>
      </c>
      <c r="CF191" s="4" t="str">
        <f>"1990"</f>
        <v>1990</v>
      </c>
      <c r="CG191" s="4" t="str">
        <f>"20,00"</f>
        <v>20,00</v>
      </c>
      <c r="CH191" s="4" t="str">
        <f>"2034-2036"</f>
        <v>2034-2036</v>
      </c>
      <c r="CI191" s="4" t="str">
        <f>"26,00"</f>
        <v>26,00</v>
      </c>
      <c r="CJ191" s="4" t="str">
        <f>"2034-2036"</f>
        <v>2034-2036</v>
      </c>
    </row>
    <row r="192" spans="1:88" ht="11.25" customHeight="1">
      <c r="A192" s="45" t="str">
        <f>"24.179"</f>
        <v>24.179</v>
      </c>
      <c r="B192" s="46" t="str">
        <f>"г. Харовск, ул.Октябрьская, д.8А"</f>
        <v>г. Харовск, ул.Октябрьская, д.8А</v>
      </c>
      <c r="C192" s="6" t="str">
        <f>"1981"</f>
        <v>1981</v>
      </c>
      <c r="D192" s="4" t="str">
        <f>"1981"</f>
        <v>1981</v>
      </c>
      <c r="E192" s="4" t="str">
        <f>"35,00"</f>
        <v>35,00</v>
      </c>
      <c r="F192" s="4" t="str">
        <f>"2028-2030"</f>
        <v>2028-2030</v>
      </c>
      <c r="G192" s="4" t="str">
        <f t="shared" ref="G192:G223" si="211">"нет"</f>
        <v>нет</v>
      </c>
      <c r="H192" s="4" t="str">
        <f>""</f>
        <v/>
      </c>
      <c r="I192" s="4" t="str">
        <f>""</f>
        <v/>
      </c>
      <c r="J192" s="4" t="str">
        <f>""</f>
        <v/>
      </c>
      <c r="K192" s="4" t="str">
        <f t="shared" si="151"/>
        <v>нет</v>
      </c>
      <c r="L192" s="4" t="str">
        <f>""</f>
        <v/>
      </c>
      <c r="M192" s="4" t="str">
        <f>""</f>
        <v/>
      </c>
      <c r="N192" s="4" t="str">
        <f>""</f>
        <v/>
      </c>
      <c r="O192" s="7" t="str">
        <f>"1981"</f>
        <v>1981</v>
      </c>
      <c r="P192" s="4" t="str">
        <f>"35,00"</f>
        <v>35,00</v>
      </c>
      <c r="Q192" s="4" t="str">
        <f>"2028-2030"</f>
        <v>2028-2030</v>
      </c>
      <c r="R192" s="4" t="str">
        <f>"да"</f>
        <v>да</v>
      </c>
      <c r="S192" s="4" t="str">
        <f>"2011"</f>
        <v>2011</v>
      </c>
      <c r="T192" s="4" t="str">
        <f>"50,00"</f>
        <v>50,00</v>
      </c>
      <c r="U192" s="4" t="str">
        <f>"2028-2030"</f>
        <v>2028-2030</v>
      </c>
      <c r="V192" s="4" t="str">
        <f t="shared" si="206"/>
        <v>нет</v>
      </c>
      <c r="W192" s="4" t="str">
        <f>""</f>
        <v/>
      </c>
      <c r="X192" s="4" t="str">
        <f>""</f>
        <v/>
      </c>
      <c r="Y192" s="8" t="str">
        <f>""</f>
        <v/>
      </c>
      <c r="Z192" s="4" t="str">
        <f>"1981"</f>
        <v>1981</v>
      </c>
      <c r="AA192" s="4" t="str">
        <f>"31,00"</f>
        <v>31,00</v>
      </c>
      <c r="AB192" s="4" t="str">
        <f>"2028-2030"</f>
        <v>2028-2030</v>
      </c>
      <c r="AC192" s="4" t="str">
        <f>"нет"</f>
        <v>нет</v>
      </c>
      <c r="AD192" s="4" t="str">
        <f>""</f>
        <v/>
      </c>
      <c r="AE192" s="4" t="str">
        <f>""</f>
        <v/>
      </c>
      <c r="AF192" s="4" t="str">
        <f>""</f>
        <v/>
      </c>
      <c r="AG192" s="4" t="str">
        <f>"нет"</f>
        <v>нет</v>
      </c>
      <c r="AH192" s="4" t="str">
        <f>""</f>
        <v/>
      </c>
      <c r="AI192" s="4" t="str">
        <f>""</f>
        <v/>
      </c>
      <c r="AJ192" s="4" t="str">
        <f>""</f>
        <v/>
      </c>
      <c r="AK192" s="7" t="str">
        <f>"1981"</f>
        <v>1981</v>
      </c>
      <c r="AL192" s="4" t="str">
        <f>"35,00"</f>
        <v>35,00</v>
      </c>
      <c r="AM192" s="4" t="str">
        <f>"2028-2030"</f>
        <v>2028-2030</v>
      </c>
      <c r="AN192" s="4" t="str">
        <f>"да"</f>
        <v>да</v>
      </c>
      <c r="AO192" s="4" t="str">
        <f>"2013"</f>
        <v>2013</v>
      </c>
      <c r="AP192" s="4" t="str">
        <f>"0,00"</f>
        <v>0,00</v>
      </c>
      <c r="AQ192" s="4" t="str">
        <f>"2028-2030"</f>
        <v>2028-2030</v>
      </c>
      <c r="AR192" s="4" t="str">
        <f t="shared" si="203"/>
        <v>нет</v>
      </c>
      <c r="AS192" s="4" t="str">
        <f>""</f>
        <v/>
      </c>
      <c r="AT192" s="4" t="str">
        <f>""</f>
        <v/>
      </c>
      <c r="AU192" s="4" t="str">
        <f>""</f>
        <v/>
      </c>
      <c r="AV192" s="4" t="str">
        <f>"1981"</f>
        <v>1981</v>
      </c>
      <c r="AW192" s="4" t="str">
        <f>"35,00"</f>
        <v>35,00</v>
      </c>
      <c r="AX192" s="4" t="str">
        <f>"2028-2030"</f>
        <v>2028-2030</v>
      </c>
      <c r="AY192" s="4" t="str">
        <f>"нет"</f>
        <v>нет</v>
      </c>
      <c r="AZ192" s="4" t="str">
        <f t="shared" ref="AZ192:BB193" si="212">"х"</f>
        <v>х</v>
      </c>
      <c r="BA192" s="4" t="str">
        <f t="shared" si="212"/>
        <v>х</v>
      </c>
      <c r="BB192" s="4" t="str">
        <f t="shared" si="212"/>
        <v>х</v>
      </c>
      <c r="BC192" s="4" t="str">
        <f>"нет"</f>
        <v>нет</v>
      </c>
      <c r="BD192" s="4" t="str">
        <f t="shared" ref="BD192:BF193" si="213">"х"</f>
        <v>х</v>
      </c>
      <c r="BE192" s="4" t="str">
        <f t="shared" si="213"/>
        <v>х</v>
      </c>
      <c r="BF192" s="4" t="str">
        <f t="shared" si="213"/>
        <v>х</v>
      </c>
      <c r="BG192" s="4" t="str">
        <f>"1981"</f>
        <v>1981</v>
      </c>
      <c r="BH192" s="4" t="str">
        <f>"35,00"</f>
        <v>35,00</v>
      </c>
      <c r="BI192" s="4" t="str">
        <f>"2028-2030"</f>
        <v>2028-2030</v>
      </c>
      <c r="BJ192" s="4" t="str">
        <f t="shared" si="204"/>
        <v>нет</v>
      </c>
      <c r="BK192" s="4" t="str">
        <f>""</f>
        <v/>
      </c>
      <c r="BL192" s="4" t="str">
        <f>""</f>
        <v/>
      </c>
      <c r="BM192" s="4" t="str">
        <f>""</f>
        <v/>
      </c>
      <c r="BN192" s="4" t="str">
        <f t="shared" si="205"/>
        <v>нет</v>
      </c>
      <c r="BO192" s="4" t="str">
        <f>""</f>
        <v/>
      </c>
      <c r="BP192" s="4" t="str">
        <f>""</f>
        <v/>
      </c>
      <c r="BQ192" s="4" t="str">
        <f>""</f>
        <v/>
      </c>
      <c r="BR192" s="4" t="str">
        <f>"1981"</f>
        <v>1981</v>
      </c>
      <c r="BS192" s="4" t="str">
        <f>"25,00"</f>
        <v>25,00</v>
      </c>
      <c r="BT192" s="4" t="str">
        <f>"2028-2030"</f>
        <v>2028-2030</v>
      </c>
      <c r="BU192" s="4" t="str">
        <f t="shared" si="153"/>
        <v>нет</v>
      </c>
      <c r="BV192" s="4" t="str">
        <f t="shared" si="197"/>
        <v>x</v>
      </c>
      <c r="BW192" s="4" t="str">
        <f t="shared" si="197"/>
        <v>x</v>
      </c>
      <c r="BX192" s="4" t="str">
        <f t="shared" si="197"/>
        <v>x</v>
      </c>
      <c r="BY192" s="4" t="str">
        <f t="shared" si="192"/>
        <v>нет</v>
      </c>
      <c r="BZ192" s="4" t="str">
        <f t="shared" si="193"/>
        <v>x</v>
      </c>
      <c r="CA192" s="4" t="str">
        <f t="shared" si="193"/>
        <v>x</v>
      </c>
      <c r="CB192" s="4" t="str">
        <f t="shared" si="193"/>
        <v>x</v>
      </c>
      <c r="CC192" s="4" t="str">
        <f>"1981"</f>
        <v>1981</v>
      </c>
      <c r="CD192" s="4" t="str">
        <f>"30,00"</f>
        <v>30,00</v>
      </c>
      <c r="CE192" s="4" t="str">
        <f>"2028-2030"</f>
        <v>2028-2030</v>
      </c>
      <c r="CF192" s="4" t="str">
        <f>"1981"</f>
        <v>1981</v>
      </c>
      <c r="CG192" s="4" t="str">
        <f>"25,00"</f>
        <v>25,00</v>
      </c>
      <c r="CH192" s="4" t="str">
        <f>"2028-2030"</f>
        <v>2028-2030</v>
      </c>
      <c r="CI192" s="4" t="str">
        <f>"31,00"</f>
        <v>31,00</v>
      </c>
      <c r="CJ192" s="4" t="str">
        <f>"2028-2030"</f>
        <v>2028-2030</v>
      </c>
    </row>
    <row r="193" spans="1:88" ht="11.25" customHeight="1">
      <c r="A193" s="45" t="str">
        <f>"24.180"</f>
        <v>24.180</v>
      </c>
      <c r="B193" s="46" t="str">
        <f>"г. Харовск, ул.Пирогова, д.3"</f>
        <v>г. Харовск, ул.Пирогова, д.3</v>
      </c>
      <c r="C193" s="6" t="str">
        <f>"1930"</f>
        <v>1930</v>
      </c>
      <c r="D193" s="4" t="str">
        <f>"1930"</f>
        <v>1930</v>
      </c>
      <c r="E193" s="4" t="str">
        <f>"20,00"</f>
        <v>20,00</v>
      </c>
      <c r="F193" s="4" t="str">
        <f>"2018-2020"</f>
        <v>2018-2020</v>
      </c>
      <c r="G193" s="4" t="str">
        <f t="shared" si="211"/>
        <v>нет</v>
      </c>
      <c r="H193" s="4" t="str">
        <f>""</f>
        <v/>
      </c>
      <c r="I193" s="4" t="str">
        <f>""</f>
        <v/>
      </c>
      <c r="J193" s="4" t="str">
        <f>""</f>
        <v/>
      </c>
      <c r="K193" s="4" t="str">
        <f t="shared" si="151"/>
        <v>нет</v>
      </c>
      <c r="L193" s="4" t="str">
        <f>""</f>
        <v/>
      </c>
      <c r="M193" s="4" t="str">
        <f>""</f>
        <v/>
      </c>
      <c r="N193" s="4" t="str">
        <f>""</f>
        <v/>
      </c>
      <c r="O193" s="7" t="str">
        <f t="shared" ref="O193:AY193" si="214">"х"</f>
        <v>х</v>
      </c>
      <c r="P193" s="4" t="str">
        <f t="shared" si="214"/>
        <v>х</v>
      </c>
      <c r="Q193" s="4" t="str">
        <f t="shared" si="214"/>
        <v>х</v>
      </c>
      <c r="R193" s="4" t="str">
        <f t="shared" si="214"/>
        <v>х</v>
      </c>
      <c r="S193" s="4" t="str">
        <f t="shared" si="214"/>
        <v>х</v>
      </c>
      <c r="T193" s="4" t="str">
        <f t="shared" si="214"/>
        <v>х</v>
      </c>
      <c r="U193" s="4" t="str">
        <f t="shared" si="214"/>
        <v>х</v>
      </c>
      <c r="V193" s="4" t="str">
        <f t="shared" si="214"/>
        <v>х</v>
      </c>
      <c r="W193" s="4" t="str">
        <f t="shared" si="214"/>
        <v>х</v>
      </c>
      <c r="X193" s="4" t="str">
        <f t="shared" si="214"/>
        <v>х</v>
      </c>
      <c r="Y193" s="8" t="str">
        <f t="shared" si="214"/>
        <v>х</v>
      </c>
      <c r="Z193" s="4" t="str">
        <f t="shared" si="214"/>
        <v>х</v>
      </c>
      <c r="AA193" s="4" t="str">
        <f t="shared" si="214"/>
        <v>х</v>
      </c>
      <c r="AB193" s="4" t="str">
        <f t="shared" si="214"/>
        <v>х</v>
      </c>
      <c r="AC193" s="4" t="str">
        <f t="shared" si="214"/>
        <v>х</v>
      </c>
      <c r="AD193" s="4" t="str">
        <f t="shared" si="214"/>
        <v>х</v>
      </c>
      <c r="AE193" s="4" t="str">
        <f t="shared" si="214"/>
        <v>х</v>
      </c>
      <c r="AF193" s="4" t="str">
        <f t="shared" si="214"/>
        <v>х</v>
      </c>
      <c r="AG193" s="4" t="str">
        <f t="shared" si="214"/>
        <v>х</v>
      </c>
      <c r="AH193" s="4" t="str">
        <f t="shared" si="214"/>
        <v>х</v>
      </c>
      <c r="AI193" s="4" t="str">
        <f t="shared" si="214"/>
        <v>х</v>
      </c>
      <c r="AJ193" s="4" t="str">
        <f t="shared" si="214"/>
        <v>х</v>
      </c>
      <c r="AK193" s="7" t="str">
        <f t="shared" si="214"/>
        <v>х</v>
      </c>
      <c r="AL193" s="4" t="str">
        <f t="shared" si="214"/>
        <v>х</v>
      </c>
      <c r="AM193" s="4" t="str">
        <f t="shared" si="214"/>
        <v>х</v>
      </c>
      <c r="AN193" s="4" t="str">
        <f t="shared" si="214"/>
        <v>х</v>
      </c>
      <c r="AO193" s="4" t="str">
        <f t="shared" si="214"/>
        <v>х</v>
      </c>
      <c r="AP193" s="4" t="str">
        <f t="shared" si="214"/>
        <v>х</v>
      </c>
      <c r="AQ193" s="4" t="str">
        <f t="shared" si="214"/>
        <v>х</v>
      </c>
      <c r="AR193" s="4" t="str">
        <f t="shared" si="214"/>
        <v>х</v>
      </c>
      <c r="AS193" s="4" t="str">
        <f t="shared" si="214"/>
        <v>х</v>
      </c>
      <c r="AT193" s="4" t="str">
        <f t="shared" si="214"/>
        <v>х</v>
      </c>
      <c r="AU193" s="4" t="str">
        <f t="shared" si="214"/>
        <v>х</v>
      </c>
      <c r="AV193" s="4" t="str">
        <f t="shared" si="214"/>
        <v>х</v>
      </c>
      <c r="AW193" s="4" t="str">
        <f t="shared" si="214"/>
        <v>х</v>
      </c>
      <c r="AX193" s="4" t="str">
        <f t="shared" si="214"/>
        <v>х</v>
      </c>
      <c r="AY193" s="4" t="str">
        <f t="shared" si="214"/>
        <v>х</v>
      </c>
      <c r="AZ193" s="4" t="str">
        <f t="shared" si="212"/>
        <v>х</v>
      </c>
      <c r="BA193" s="4" t="str">
        <f t="shared" si="212"/>
        <v>х</v>
      </c>
      <c r="BB193" s="4" t="str">
        <f t="shared" si="212"/>
        <v>х</v>
      </c>
      <c r="BC193" s="4" t="str">
        <f>"х"</f>
        <v>х</v>
      </c>
      <c r="BD193" s="4" t="str">
        <f t="shared" si="213"/>
        <v>х</v>
      </c>
      <c r="BE193" s="4" t="str">
        <f t="shared" si="213"/>
        <v>х</v>
      </c>
      <c r="BF193" s="4" t="str">
        <f t="shared" si="213"/>
        <v>х</v>
      </c>
      <c r="BG193" s="4" t="str">
        <f t="shared" ref="BG193:BQ193" si="215">"х"</f>
        <v>х</v>
      </c>
      <c r="BH193" s="4" t="str">
        <f t="shared" si="215"/>
        <v>х</v>
      </c>
      <c r="BI193" s="4" t="str">
        <f t="shared" si="215"/>
        <v>х</v>
      </c>
      <c r="BJ193" s="4" t="str">
        <f t="shared" si="215"/>
        <v>х</v>
      </c>
      <c r="BK193" s="4" t="str">
        <f t="shared" si="215"/>
        <v>х</v>
      </c>
      <c r="BL193" s="4" t="str">
        <f t="shared" si="215"/>
        <v>х</v>
      </c>
      <c r="BM193" s="4" t="str">
        <f t="shared" si="215"/>
        <v>х</v>
      </c>
      <c r="BN193" s="4" t="str">
        <f t="shared" si="215"/>
        <v>х</v>
      </c>
      <c r="BO193" s="4" t="str">
        <f t="shared" si="215"/>
        <v>х</v>
      </c>
      <c r="BP193" s="4" t="str">
        <f t="shared" si="215"/>
        <v>х</v>
      </c>
      <c r="BQ193" s="4" t="str">
        <f t="shared" si="215"/>
        <v>х</v>
      </c>
      <c r="BR193" s="4" t="str">
        <f>"1930"</f>
        <v>1930</v>
      </c>
      <c r="BS193" s="4" t="str">
        <f>"60,00"</f>
        <v>60,00</v>
      </c>
      <c r="BT193" s="4" t="str">
        <f>"2018-2020"</f>
        <v>2018-2020</v>
      </c>
      <c r="BU193" s="4" t="str">
        <f t="shared" si="153"/>
        <v>нет</v>
      </c>
      <c r="BV193" s="4" t="str">
        <f t="shared" si="197"/>
        <v>x</v>
      </c>
      <c r="BW193" s="4" t="str">
        <f t="shared" si="197"/>
        <v>x</v>
      </c>
      <c r="BX193" s="4" t="str">
        <f t="shared" si="197"/>
        <v>x</v>
      </c>
      <c r="BY193" s="4" t="str">
        <f t="shared" si="192"/>
        <v>нет</v>
      </c>
      <c r="BZ193" s="4" t="str">
        <f t="shared" si="193"/>
        <v>x</v>
      </c>
      <c r="CA193" s="4" t="str">
        <f t="shared" si="193"/>
        <v>x</v>
      </c>
      <c r="CB193" s="4" t="str">
        <f t="shared" si="193"/>
        <v>x</v>
      </c>
      <c r="CC193" s="4" t="str">
        <f>"1930"</f>
        <v>1930</v>
      </c>
      <c r="CD193" s="4" t="str">
        <f>"65,00"</f>
        <v>65,00</v>
      </c>
      <c r="CE193" s="4" t="str">
        <f>"2018-2020"</f>
        <v>2018-2020</v>
      </c>
      <c r="CF193" s="4" t="str">
        <f>"1930"</f>
        <v>1930</v>
      </c>
      <c r="CG193" s="4" t="str">
        <f>"80,00"</f>
        <v>80,00</v>
      </c>
      <c r="CH193" s="4" t="str">
        <f>"2035-2037"</f>
        <v>2035-2037</v>
      </c>
      <c r="CI193" s="4" t="str">
        <f>"60,00"</f>
        <v>60,00</v>
      </c>
      <c r="CJ193" s="4" t="str">
        <f>"2018-2020"</f>
        <v>2018-2020</v>
      </c>
    </row>
    <row r="194" spans="1:88" ht="11.25" customHeight="1">
      <c r="A194" s="45" t="str">
        <f>"24.181"</f>
        <v>24.181</v>
      </c>
      <c r="B194" s="46" t="str">
        <f>"г. Харовск, ул.Прокатова, д.18"</f>
        <v>г. Харовск, ул.Прокатова, д.18</v>
      </c>
      <c r="C194" s="6" t="str">
        <f>"1988"</f>
        <v>1988</v>
      </c>
      <c r="D194" s="4" t="str">
        <f>"1988"</f>
        <v>1988</v>
      </c>
      <c r="E194" s="4" t="str">
        <f>"25,00"</f>
        <v>25,00</v>
      </c>
      <c r="F194" s="4" t="str">
        <f>"2033-2035"</f>
        <v>2033-2035</v>
      </c>
      <c r="G194" s="4" t="str">
        <f t="shared" si="211"/>
        <v>нет</v>
      </c>
      <c r="H194" s="4" t="str">
        <f>""</f>
        <v/>
      </c>
      <c r="I194" s="4" t="str">
        <f>""</f>
        <v/>
      </c>
      <c r="J194" s="4" t="str">
        <f>""</f>
        <v/>
      </c>
      <c r="K194" s="4" t="str">
        <f t="shared" si="151"/>
        <v>нет</v>
      </c>
      <c r="L194" s="4" t="str">
        <f>""</f>
        <v/>
      </c>
      <c r="M194" s="4" t="str">
        <f>""</f>
        <v/>
      </c>
      <c r="N194" s="4" t="str">
        <f>""</f>
        <v/>
      </c>
      <c r="O194" s="7" t="str">
        <f>"1988"</f>
        <v>1988</v>
      </c>
      <c r="P194" s="4" t="str">
        <f>"25,00"</f>
        <v>25,00</v>
      </c>
      <c r="Q194" s="4" t="str">
        <f>"2033-2035"</f>
        <v>2033-2035</v>
      </c>
      <c r="R194" s="4" t="str">
        <f>"да"</f>
        <v>да</v>
      </c>
      <c r="S194" s="4" t="str">
        <f>"2009"</f>
        <v>2009</v>
      </c>
      <c r="T194" s="4" t="str">
        <f>"75,00"</f>
        <v>75,00</v>
      </c>
      <c r="U194" s="4" t="str">
        <f>"2033-2035"</f>
        <v>2033-2035</v>
      </c>
      <c r="V194" s="4" t="str">
        <f t="shared" ref="V194:V204" si="216">"нет"</f>
        <v>нет</v>
      </c>
      <c r="W194" s="4" t="str">
        <f>""</f>
        <v/>
      </c>
      <c r="X194" s="4" t="str">
        <f>""</f>
        <v/>
      </c>
      <c r="Y194" s="8" t="str">
        <f>""</f>
        <v/>
      </c>
      <c r="Z194" s="4" t="str">
        <f t="shared" ref="Z194:AJ194" si="217">"х"</f>
        <v>х</v>
      </c>
      <c r="AA194" s="4" t="str">
        <f t="shared" si="217"/>
        <v>х</v>
      </c>
      <c r="AB194" s="4" t="str">
        <f t="shared" si="217"/>
        <v>х</v>
      </c>
      <c r="AC194" s="4" t="str">
        <f t="shared" si="217"/>
        <v>х</v>
      </c>
      <c r="AD194" s="4" t="str">
        <f t="shared" si="217"/>
        <v>х</v>
      </c>
      <c r="AE194" s="4" t="str">
        <f t="shared" si="217"/>
        <v>х</v>
      </c>
      <c r="AF194" s="4" t="str">
        <f t="shared" si="217"/>
        <v>х</v>
      </c>
      <c r="AG194" s="4" t="str">
        <f t="shared" si="217"/>
        <v>х</v>
      </c>
      <c r="AH194" s="4" t="str">
        <f t="shared" si="217"/>
        <v>х</v>
      </c>
      <c r="AI194" s="4" t="str">
        <f t="shared" si="217"/>
        <v>х</v>
      </c>
      <c r="AJ194" s="4" t="str">
        <f t="shared" si="217"/>
        <v>х</v>
      </c>
      <c r="AK194" s="7" t="str">
        <f>"1988"</f>
        <v>1988</v>
      </c>
      <c r="AL194" s="4" t="str">
        <f>"25,00"</f>
        <v>25,00</v>
      </c>
      <c r="AM194" s="4" t="str">
        <f>"2033-2035"</f>
        <v>2033-2035</v>
      </c>
      <c r="AN194" s="4" t="str">
        <f>"да"</f>
        <v>да</v>
      </c>
      <c r="AO194" s="4" t="str">
        <f>"2013"</f>
        <v>2013</v>
      </c>
      <c r="AP194" s="4" t="str">
        <f>"0,00"</f>
        <v>0,00</v>
      </c>
      <c r="AQ194" s="4" t="str">
        <f>"2033-2035"</f>
        <v>2033-2035</v>
      </c>
      <c r="AR194" s="4" t="str">
        <f t="shared" ref="AR194:AR205" si="218">"нет"</f>
        <v>нет</v>
      </c>
      <c r="AS194" s="4" t="str">
        <f>""</f>
        <v/>
      </c>
      <c r="AT194" s="4" t="str">
        <f>""</f>
        <v/>
      </c>
      <c r="AU194" s="4" t="str">
        <f>""</f>
        <v/>
      </c>
      <c r="AV194" s="4" t="str">
        <f>"1988"</f>
        <v>1988</v>
      </c>
      <c r="AW194" s="4" t="str">
        <f>"25,00"</f>
        <v>25,00</v>
      </c>
      <c r="AX194" s="4" t="str">
        <f>"2033-2035"</f>
        <v>2033-2035</v>
      </c>
      <c r="AY194" s="4" t="str">
        <f>"нет"</f>
        <v>нет</v>
      </c>
      <c r="AZ194" s="4" t="str">
        <f>""</f>
        <v/>
      </c>
      <c r="BA194" s="4" t="str">
        <f>""</f>
        <v/>
      </c>
      <c r="BB194" s="4" t="str">
        <f>""</f>
        <v/>
      </c>
      <c r="BC194" s="4" t="str">
        <f>"нет"</f>
        <v>нет</v>
      </c>
      <c r="BD194" s="4" t="str">
        <f>""</f>
        <v/>
      </c>
      <c r="BE194" s="4" t="str">
        <f>""</f>
        <v/>
      </c>
      <c r="BF194" s="4" t="str">
        <f>""</f>
        <v/>
      </c>
      <c r="BG194" s="4" t="str">
        <f>"1988"</f>
        <v>1988</v>
      </c>
      <c r="BH194" s="4" t="str">
        <f>"25,00"</f>
        <v>25,00</v>
      </c>
      <c r="BI194" s="4" t="str">
        <f>"2033-2035"</f>
        <v>2033-2035</v>
      </c>
      <c r="BJ194" s="4" t="str">
        <f t="shared" ref="BJ194:BJ205" si="219">"нет"</f>
        <v>нет</v>
      </c>
      <c r="BK194" s="4" t="str">
        <f>""</f>
        <v/>
      </c>
      <c r="BL194" s="4" t="str">
        <f>""</f>
        <v/>
      </c>
      <c r="BM194" s="4" t="str">
        <f>""</f>
        <v/>
      </c>
      <c r="BN194" s="4" t="str">
        <f>"нет"</f>
        <v>нет</v>
      </c>
      <c r="BO194" s="4" t="str">
        <f>""</f>
        <v/>
      </c>
      <c r="BP194" s="4" t="str">
        <f>""</f>
        <v/>
      </c>
      <c r="BQ194" s="4" t="str">
        <f>""</f>
        <v/>
      </c>
      <c r="BR194" s="4" t="str">
        <f>"1988"</f>
        <v>1988</v>
      </c>
      <c r="BS194" s="4" t="str">
        <f>"25,00"</f>
        <v>25,00</v>
      </c>
      <c r="BT194" s="4" t="str">
        <f>"2033-2035"</f>
        <v>2033-2035</v>
      </c>
      <c r="BU194" s="4" t="str">
        <f t="shared" si="153"/>
        <v>нет</v>
      </c>
      <c r="BV194" s="4" t="str">
        <f t="shared" ref="BV194:BX213" si="220">"x"</f>
        <v>x</v>
      </c>
      <c r="BW194" s="4" t="str">
        <f t="shared" si="220"/>
        <v>x</v>
      </c>
      <c r="BX194" s="4" t="str">
        <f t="shared" si="220"/>
        <v>x</v>
      </c>
      <c r="BY194" s="4" t="str">
        <f t="shared" si="192"/>
        <v>нет</v>
      </c>
      <c r="BZ194" s="4" t="str">
        <f t="shared" si="193"/>
        <v>x</v>
      </c>
      <c r="CA194" s="4" t="str">
        <f t="shared" si="193"/>
        <v>x</v>
      </c>
      <c r="CB194" s="4" t="str">
        <f t="shared" si="193"/>
        <v>x</v>
      </c>
      <c r="CC194" s="4" t="str">
        <f>"1988"</f>
        <v>1988</v>
      </c>
      <c r="CD194" s="4" t="str">
        <f>"15,00"</f>
        <v>15,00</v>
      </c>
      <c r="CE194" s="4" t="str">
        <f>"2033-2035"</f>
        <v>2033-2035</v>
      </c>
      <c r="CF194" s="4" t="str">
        <f>"1988"</f>
        <v>1988</v>
      </c>
      <c r="CG194" s="4" t="str">
        <f>"15,00"</f>
        <v>15,00</v>
      </c>
      <c r="CH194" s="4" t="str">
        <f>"2033-2035"</f>
        <v>2033-2035</v>
      </c>
      <c r="CI194" s="4" t="str">
        <f>"20,00"</f>
        <v>20,00</v>
      </c>
      <c r="CJ194" s="4" t="str">
        <f>"2033-2035"</f>
        <v>2033-2035</v>
      </c>
    </row>
    <row r="195" spans="1:88" ht="11.25" customHeight="1">
      <c r="A195" s="45" t="str">
        <f>"24.182"</f>
        <v>24.182</v>
      </c>
      <c r="B195" s="46" t="str">
        <f>"г. Харовск, ул.Прокатова, д.58"</f>
        <v>г. Харовск, ул.Прокатова, д.58</v>
      </c>
      <c r="C195" s="6" t="str">
        <f>"1992"</f>
        <v>1992</v>
      </c>
      <c r="D195" s="4" t="str">
        <f>"1992"</f>
        <v>1992</v>
      </c>
      <c r="E195" s="4" t="str">
        <f>"20,00"</f>
        <v>20,00</v>
      </c>
      <c r="F195" s="4" t="str">
        <f>"2035-2037"</f>
        <v>2035-2037</v>
      </c>
      <c r="G195" s="4" t="str">
        <f t="shared" si="211"/>
        <v>нет</v>
      </c>
      <c r="H195" s="4" t="str">
        <f>""</f>
        <v/>
      </c>
      <c r="I195" s="4" t="str">
        <f>""</f>
        <v/>
      </c>
      <c r="J195" s="4" t="str">
        <f>""</f>
        <v/>
      </c>
      <c r="K195" s="4" t="str">
        <f t="shared" si="151"/>
        <v>нет</v>
      </c>
      <c r="L195" s="4" t="str">
        <f>""</f>
        <v/>
      </c>
      <c r="M195" s="4" t="str">
        <f>""</f>
        <v/>
      </c>
      <c r="N195" s="4" t="str">
        <f>""</f>
        <v/>
      </c>
      <c r="O195" s="7" t="str">
        <f>"1992"</f>
        <v>1992</v>
      </c>
      <c r="P195" s="4" t="str">
        <f>"20,00"</f>
        <v>20,00</v>
      </c>
      <c r="Q195" s="4" t="str">
        <f>"2035-2037"</f>
        <v>2035-2037</v>
      </c>
      <c r="R195" s="4" t="str">
        <f>"да"</f>
        <v>да</v>
      </c>
      <c r="S195" s="4" t="str">
        <f>"2009"</f>
        <v>2009</v>
      </c>
      <c r="T195" s="4" t="str">
        <f>"75,00"</f>
        <v>75,00</v>
      </c>
      <c r="U195" s="4" t="str">
        <f>"2035-2037"</f>
        <v>2035-2037</v>
      </c>
      <c r="V195" s="4" t="str">
        <f t="shared" si="216"/>
        <v>нет</v>
      </c>
      <c r="W195" s="4" t="str">
        <f>""</f>
        <v/>
      </c>
      <c r="X195" s="4" t="str">
        <f>""</f>
        <v/>
      </c>
      <c r="Y195" s="8" t="str">
        <f>""</f>
        <v/>
      </c>
      <c r="Z195" s="4" t="str">
        <f>"1992"</f>
        <v>1992</v>
      </c>
      <c r="AA195" s="4" t="str">
        <f>"20,00"</f>
        <v>20,00</v>
      </c>
      <c r="AB195" s="4" t="str">
        <f>"2035-2037"</f>
        <v>2035-2037</v>
      </c>
      <c r="AC195" s="4" t="str">
        <f>"нет"</f>
        <v>нет</v>
      </c>
      <c r="AD195" s="4" t="str">
        <f>""</f>
        <v/>
      </c>
      <c r="AE195" s="4" t="str">
        <f>""</f>
        <v/>
      </c>
      <c r="AF195" s="4" t="str">
        <f>""</f>
        <v/>
      </c>
      <c r="AG195" s="4" t="str">
        <f>"нет"</f>
        <v>нет</v>
      </c>
      <c r="AH195" s="4" t="str">
        <f>""</f>
        <v/>
      </c>
      <c r="AI195" s="4" t="str">
        <f>""</f>
        <v/>
      </c>
      <c r="AJ195" s="4" t="str">
        <f>""</f>
        <v/>
      </c>
      <c r="AK195" s="7" t="str">
        <f>"1992"</f>
        <v>1992</v>
      </c>
      <c r="AL195" s="4" t="str">
        <f>"20,00"</f>
        <v>20,00</v>
      </c>
      <c r="AM195" s="4" t="str">
        <f>"2035-2037"</f>
        <v>2035-2037</v>
      </c>
      <c r="AN195" s="4" t="str">
        <f>"да"</f>
        <v>да</v>
      </c>
      <c r="AO195" s="4" t="str">
        <f>"2013"</f>
        <v>2013</v>
      </c>
      <c r="AP195" s="4" t="str">
        <f>"0,00"</f>
        <v>0,00</v>
      </c>
      <c r="AQ195" s="4" t="str">
        <f>"2035-2037"</f>
        <v>2035-2037</v>
      </c>
      <c r="AR195" s="4" t="str">
        <f t="shared" si="218"/>
        <v>нет</v>
      </c>
      <c r="AS195" s="4" t="str">
        <f>""</f>
        <v/>
      </c>
      <c r="AT195" s="4" t="str">
        <f>""</f>
        <v/>
      </c>
      <c r="AU195" s="4" t="str">
        <f>""</f>
        <v/>
      </c>
      <c r="AV195" s="4" t="str">
        <f>"1992"</f>
        <v>1992</v>
      </c>
      <c r="AW195" s="4" t="str">
        <f>"20,00"</f>
        <v>20,00</v>
      </c>
      <c r="AX195" s="4" t="str">
        <f>"2035-2037"</f>
        <v>2035-2037</v>
      </c>
      <c r="AY195" s="4" t="str">
        <f>"нет"</f>
        <v>нет</v>
      </c>
      <c r="AZ195" s="4" t="str">
        <f>""</f>
        <v/>
      </c>
      <c r="BA195" s="4" t="str">
        <f>""</f>
        <v/>
      </c>
      <c r="BB195" s="4" t="str">
        <f>""</f>
        <v/>
      </c>
      <c r="BC195" s="4" t="str">
        <f>"нет"</f>
        <v>нет</v>
      </c>
      <c r="BD195" s="4" t="str">
        <f>""</f>
        <v/>
      </c>
      <c r="BE195" s="4" t="str">
        <f>""</f>
        <v/>
      </c>
      <c r="BF195" s="4" t="str">
        <f>""</f>
        <v/>
      </c>
      <c r="BG195" s="4" t="str">
        <f>"1992"</f>
        <v>1992</v>
      </c>
      <c r="BH195" s="4" t="str">
        <f>"20,00"</f>
        <v>20,00</v>
      </c>
      <c r="BI195" s="4" t="str">
        <f>"2035-2037"</f>
        <v>2035-2037</v>
      </c>
      <c r="BJ195" s="4" t="str">
        <f t="shared" si="219"/>
        <v>нет</v>
      </c>
      <c r="BK195" s="4" t="str">
        <f>""</f>
        <v/>
      </c>
      <c r="BL195" s="4" t="str">
        <f>""</f>
        <v/>
      </c>
      <c r="BM195" s="4" t="str">
        <f>""</f>
        <v/>
      </c>
      <c r="BN195" s="4" t="str">
        <f>"нет"</f>
        <v>нет</v>
      </c>
      <c r="BO195" s="4" t="str">
        <f>""</f>
        <v/>
      </c>
      <c r="BP195" s="4" t="str">
        <f>""</f>
        <v/>
      </c>
      <c r="BQ195" s="4" t="str">
        <f>""</f>
        <v/>
      </c>
      <c r="BR195" s="4" t="str">
        <f>"1992"</f>
        <v>1992</v>
      </c>
      <c r="BS195" s="4" t="str">
        <f>"30,00"</f>
        <v>30,00</v>
      </c>
      <c r="BT195" s="4" t="str">
        <f>"2035-2037"</f>
        <v>2035-2037</v>
      </c>
      <c r="BU195" s="4" t="str">
        <f t="shared" si="153"/>
        <v>нет</v>
      </c>
      <c r="BV195" s="4" t="str">
        <f t="shared" si="220"/>
        <v>x</v>
      </c>
      <c r="BW195" s="4" t="str">
        <f t="shared" si="220"/>
        <v>x</v>
      </c>
      <c r="BX195" s="4" t="str">
        <f t="shared" si="220"/>
        <v>x</v>
      </c>
      <c r="BY195" s="4" t="str">
        <f t="shared" si="192"/>
        <v>нет</v>
      </c>
      <c r="BZ195" s="4" t="str">
        <f t="shared" si="193"/>
        <v>x</v>
      </c>
      <c r="CA195" s="4" t="str">
        <f t="shared" si="193"/>
        <v>x</v>
      </c>
      <c r="CB195" s="4" t="str">
        <f t="shared" si="193"/>
        <v>x</v>
      </c>
      <c r="CC195" s="4" t="str">
        <f>"1992"</f>
        <v>1992</v>
      </c>
      <c r="CD195" s="4" t="str">
        <f>"10,00"</f>
        <v>10,00</v>
      </c>
      <c r="CE195" s="4" t="str">
        <f>"2035-2037"</f>
        <v>2035-2037</v>
      </c>
      <c r="CF195" s="4" t="str">
        <f>"1992"</f>
        <v>1992</v>
      </c>
      <c r="CG195" s="4" t="str">
        <f>"5,00"</f>
        <v>5,00</v>
      </c>
      <c r="CH195" s="4" t="str">
        <f>"2035-2037"</f>
        <v>2035-2037</v>
      </c>
      <c r="CI195" s="4" t="str">
        <f>"15,00"</f>
        <v>15,00</v>
      </c>
      <c r="CJ195" s="4" t="str">
        <f>"2035-2037"</f>
        <v>2035-2037</v>
      </c>
    </row>
    <row r="196" spans="1:88" ht="11.25" customHeight="1">
      <c r="A196" s="45" t="str">
        <f>"24.183"</f>
        <v>24.183</v>
      </c>
      <c r="B196" s="46" t="str">
        <f>"г. Харовск, ул.Пушкина, д.10"</f>
        <v>г. Харовск, ул.Пушкина, д.10</v>
      </c>
      <c r="C196" s="6" t="str">
        <f>"1961"</f>
        <v>1961</v>
      </c>
      <c r="D196" s="4" t="str">
        <f>"1961"</f>
        <v>1961</v>
      </c>
      <c r="E196" s="4" t="str">
        <f>"40,00"</f>
        <v>40,00</v>
      </c>
      <c r="F196" s="4" t="str">
        <f>"2020-2022"</f>
        <v>2020-2022</v>
      </c>
      <c r="G196" s="4" t="str">
        <f t="shared" si="211"/>
        <v>нет</v>
      </c>
      <c r="H196" s="4" t="str">
        <f>""</f>
        <v/>
      </c>
      <c r="I196" s="4" t="str">
        <f>""</f>
        <v/>
      </c>
      <c r="J196" s="4" t="str">
        <f>""</f>
        <v/>
      </c>
      <c r="K196" s="4" t="str">
        <f t="shared" si="151"/>
        <v>нет</v>
      </c>
      <c r="L196" s="4" t="str">
        <f>""</f>
        <v/>
      </c>
      <c r="M196" s="4" t="str">
        <f>""</f>
        <v/>
      </c>
      <c r="N196" s="4" t="str">
        <f>""</f>
        <v/>
      </c>
      <c r="O196" s="7" t="str">
        <f>"1961"</f>
        <v>1961</v>
      </c>
      <c r="P196" s="4" t="str">
        <f>"40,00"</f>
        <v>40,00</v>
      </c>
      <c r="Q196" s="4" t="str">
        <f>"2020-2022"</f>
        <v>2020-2022</v>
      </c>
      <c r="R196" s="4" t="str">
        <f>"нет"</f>
        <v>нет</v>
      </c>
      <c r="S196" s="4" t="str">
        <f>""</f>
        <v/>
      </c>
      <c r="T196" s="4" t="str">
        <f>""</f>
        <v/>
      </c>
      <c r="U196" s="4" t="str">
        <f>"2020-2022"</f>
        <v>2020-2022</v>
      </c>
      <c r="V196" s="4" t="str">
        <f t="shared" si="216"/>
        <v>нет</v>
      </c>
      <c r="W196" s="4" t="str">
        <f>""</f>
        <v/>
      </c>
      <c r="X196" s="4" t="str">
        <f>""</f>
        <v/>
      </c>
      <c r="Y196" s="8" t="str">
        <f>""</f>
        <v/>
      </c>
      <c r="Z196" s="4" t="str">
        <f t="shared" ref="Z196:AJ202" si="221">"х"</f>
        <v>х</v>
      </c>
      <c r="AA196" s="4" t="str">
        <f t="shared" si="221"/>
        <v>х</v>
      </c>
      <c r="AB196" s="4" t="str">
        <f t="shared" si="221"/>
        <v>х</v>
      </c>
      <c r="AC196" s="4" t="str">
        <f t="shared" si="221"/>
        <v>х</v>
      </c>
      <c r="AD196" s="4" t="str">
        <f t="shared" si="221"/>
        <v>х</v>
      </c>
      <c r="AE196" s="4" t="str">
        <f t="shared" si="221"/>
        <v>х</v>
      </c>
      <c r="AF196" s="4" t="str">
        <f t="shared" si="221"/>
        <v>х</v>
      </c>
      <c r="AG196" s="4" t="str">
        <f t="shared" si="221"/>
        <v>х</v>
      </c>
      <c r="AH196" s="4" t="str">
        <f t="shared" si="221"/>
        <v>х</v>
      </c>
      <c r="AI196" s="4" t="str">
        <f t="shared" si="221"/>
        <v>х</v>
      </c>
      <c r="AJ196" s="4" t="str">
        <f t="shared" si="221"/>
        <v>х</v>
      </c>
      <c r="AK196" s="7" t="str">
        <f>"1961"</f>
        <v>1961</v>
      </c>
      <c r="AL196" s="4" t="str">
        <f>"40,00"</f>
        <v>40,00</v>
      </c>
      <c r="AM196" s="4" t="str">
        <f>"2020-2022"</f>
        <v>2020-2022</v>
      </c>
      <c r="AN196" s="4" t="str">
        <f t="shared" ref="AN196:AN202" si="222">"нет"</f>
        <v>нет</v>
      </c>
      <c r="AO196" s="4" t="str">
        <f>""</f>
        <v/>
      </c>
      <c r="AP196" s="4" t="str">
        <f>""</f>
        <v/>
      </c>
      <c r="AQ196" s="4" t="str">
        <f>""</f>
        <v/>
      </c>
      <c r="AR196" s="4" t="str">
        <f t="shared" si="218"/>
        <v>нет</v>
      </c>
      <c r="AS196" s="4" t="str">
        <f>""</f>
        <v/>
      </c>
      <c r="AT196" s="4" t="str">
        <f>""</f>
        <v/>
      </c>
      <c r="AU196" s="4" t="str">
        <f>""</f>
        <v/>
      </c>
      <c r="AV196" s="4" t="str">
        <f t="shared" ref="AV196:BF202" si="223">"х"</f>
        <v>х</v>
      </c>
      <c r="AW196" s="4" t="str">
        <f t="shared" si="223"/>
        <v>х</v>
      </c>
      <c r="AX196" s="4" t="str">
        <f t="shared" si="223"/>
        <v>х</v>
      </c>
      <c r="AY196" s="4" t="str">
        <f t="shared" si="223"/>
        <v>х</v>
      </c>
      <c r="AZ196" s="4" t="str">
        <f t="shared" si="223"/>
        <v>х</v>
      </c>
      <c r="BA196" s="4" t="str">
        <f t="shared" si="223"/>
        <v>х</v>
      </c>
      <c r="BB196" s="4" t="str">
        <f t="shared" si="223"/>
        <v>х</v>
      </c>
      <c r="BC196" s="4" t="str">
        <f t="shared" si="223"/>
        <v>х</v>
      </c>
      <c r="BD196" s="4" t="str">
        <f t="shared" si="223"/>
        <v>х</v>
      </c>
      <c r="BE196" s="4" t="str">
        <f t="shared" si="223"/>
        <v>х</v>
      </c>
      <c r="BF196" s="4" t="str">
        <f t="shared" si="223"/>
        <v>х</v>
      </c>
      <c r="BG196" s="4" t="str">
        <f>"1961"</f>
        <v>1961</v>
      </c>
      <c r="BH196" s="4" t="str">
        <f>"40,00"</f>
        <v>40,00</v>
      </c>
      <c r="BI196" s="4" t="str">
        <f>"2020-2022"</f>
        <v>2020-2022</v>
      </c>
      <c r="BJ196" s="4" t="str">
        <f t="shared" si="219"/>
        <v>нет</v>
      </c>
      <c r="BK196" s="4" t="str">
        <f t="shared" ref="BK196:BM198" si="224">"х"</f>
        <v>х</v>
      </c>
      <c r="BL196" s="4" t="str">
        <f t="shared" si="224"/>
        <v>х</v>
      </c>
      <c r="BM196" s="4" t="str">
        <f t="shared" si="224"/>
        <v>х</v>
      </c>
      <c r="BN196" s="4" t="str">
        <f>"нет"</f>
        <v>нет</v>
      </c>
      <c r="BO196" s="4" t="str">
        <f t="shared" ref="BO196:BQ198" si="225">"х"</f>
        <v>х</v>
      </c>
      <c r="BP196" s="4" t="str">
        <f t="shared" si="225"/>
        <v>х</v>
      </c>
      <c r="BQ196" s="4" t="str">
        <f t="shared" si="225"/>
        <v>х</v>
      </c>
      <c r="BR196" s="4" t="str">
        <f>"1961"</f>
        <v>1961</v>
      </c>
      <c r="BS196" s="4" t="str">
        <f>"60,00"</f>
        <v>60,00</v>
      </c>
      <c r="BT196" s="4" t="str">
        <f>"2020-2022"</f>
        <v>2020-2022</v>
      </c>
      <c r="BU196" s="4" t="str">
        <f t="shared" si="153"/>
        <v>нет</v>
      </c>
      <c r="BV196" s="4" t="str">
        <f t="shared" si="220"/>
        <v>x</v>
      </c>
      <c r="BW196" s="4" t="str">
        <f t="shared" si="220"/>
        <v>x</v>
      </c>
      <c r="BX196" s="4" t="str">
        <f t="shared" si="220"/>
        <v>x</v>
      </c>
      <c r="BY196" s="4" t="str">
        <f t="shared" si="192"/>
        <v>нет</v>
      </c>
      <c r="BZ196" s="4" t="str">
        <f t="shared" si="193"/>
        <v>x</v>
      </c>
      <c r="CA196" s="4" t="str">
        <f t="shared" si="193"/>
        <v>x</v>
      </c>
      <c r="CB196" s="4" t="str">
        <f t="shared" si="193"/>
        <v>x</v>
      </c>
      <c r="CC196" s="4" t="str">
        <f>"1961"</f>
        <v>1961</v>
      </c>
      <c r="CD196" s="4" t="str">
        <f>"65,00"</f>
        <v>65,00</v>
      </c>
      <c r="CE196" s="4" t="str">
        <f>"2020-2022"</f>
        <v>2020-2022</v>
      </c>
      <c r="CF196" s="4" t="str">
        <f>"1961"</f>
        <v>1961</v>
      </c>
      <c r="CG196" s="4" t="str">
        <f>"55,00"</f>
        <v>55,00</v>
      </c>
      <c r="CH196" s="4" t="str">
        <f>"2040-2042"</f>
        <v>2040-2042</v>
      </c>
      <c r="CI196" s="4" t="str">
        <f>"46,00"</f>
        <v>46,00</v>
      </c>
      <c r="CJ196" s="4" t="str">
        <f>"2020-2022"</f>
        <v>2020-2022</v>
      </c>
    </row>
    <row r="197" spans="1:88" ht="11.25" customHeight="1">
      <c r="A197" s="45" t="str">
        <f>"24.184"</f>
        <v>24.184</v>
      </c>
      <c r="B197" s="46" t="str">
        <f>"г. Харовск, ул.Пушкина, д.12"</f>
        <v>г. Харовск, ул.Пушкина, д.12</v>
      </c>
      <c r="C197" s="6" t="str">
        <f>"1961"</f>
        <v>1961</v>
      </c>
      <c r="D197" s="4" t="str">
        <f>"1961"</f>
        <v>1961</v>
      </c>
      <c r="E197" s="4" t="str">
        <f>"50,00"</f>
        <v>50,00</v>
      </c>
      <c r="F197" s="4" t="str">
        <f>"2020-2022"</f>
        <v>2020-2022</v>
      </c>
      <c r="G197" s="4" t="str">
        <f t="shared" si="211"/>
        <v>нет</v>
      </c>
      <c r="H197" s="4" t="str">
        <f>""</f>
        <v/>
      </c>
      <c r="I197" s="4" t="str">
        <f>""</f>
        <v/>
      </c>
      <c r="J197" s="4" t="str">
        <f>""</f>
        <v/>
      </c>
      <c r="K197" s="4" t="str">
        <f t="shared" si="151"/>
        <v>нет</v>
      </c>
      <c r="L197" s="4" t="str">
        <f>""</f>
        <v/>
      </c>
      <c r="M197" s="4" t="str">
        <f>""</f>
        <v/>
      </c>
      <c r="N197" s="4" t="str">
        <f>""</f>
        <v/>
      </c>
      <c r="O197" s="7" t="str">
        <f>"1961"</f>
        <v>1961</v>
      </c>
      <c r="P197" s="4" t="str">
        <f>"50,00"</f>
        <v>50,00</v>
      </c>
      <c r="Q197" s="4" t="str">
        <f>"2020-2022"</f>
        <v>2020-2022</v>
      </c>
      <c r="R197" s="4" t="str">
        <f>"нет"</f>
        <v>нет</v>
      </c>
      <c r="S197" s="4" t="str">
        <f>""</f>
        <v/>
      </c>
      <c r="T197" s="4" t="str">
        <f>""</f>
        <v/>
      </c>
      <c r="U197" s="4" t="str">
        <f>"2020-2022"</f>
        <v>2020-2022</v>
      </c>
      <c r="V197" s="4" t="str">
        <f t="shared" si="216"/>
        <v>нет</v>
      </c>
      <c r="W197" s="4" t="str">
        <f>""</f>
        <v/>
      </c>
      <c r="X197" s="4" t="str">
        <f>""</f>
        <v/>
      </c>
      <c r="Y197" s="8" t="str">
        <f>""</f>
        <v/>
      </c>
      <c r="Z197" s="4" t="str">
        <f t="shared" si="221"/>
        <v>х</v>
      </c>
      <c r="AA197" s="4" t="str">
        <f t="shared" si="221"/>
        <v>х</v>
      </c>
      <c r="AB197" s="4" t="str">
        <f t="shared" si="221"/>
        <v>х</v>
      </c>
      <c r="AC197" s="4" t="str">
        <f t="shared" si="221"/>
        <v>х</v>
      </c>
      <c r="AD197" s="4" t="str">
        <f t="shared" si="221"/>
        <v>х</v>
      </c>
      <c r="AE197" s="4" t="str">
        <f t="shared" si="221"/>
        <v>х</v>
      </c>
      <c r="AF197" s="4" t="str">
        <f t="shared" si="221"/>
        <v>х</v>
      </c>
      <c r="AG197" s="4" t="str">
        <f t="shared" si="221"/>
        <v>х</v>
      </c>
      <c r="AH197" s="4" t="str">
        <f t="shared" si="221"/>
        <v>х</v>
      </c>
      <c r="AI197" s="4" t="str">
        <f t="shared" si="221"/>
        <v>х</v>
      </c>
      <c r="AJ197" s="4" t="str">
        <f t="shared" si="221"/>
        <v>х</v>
      </c>
      <c r="AK197" s="7" t="str">
        <f>"1961"</f>
        <v>1961</v>
      </c>
      <c r="AL197" s="4" t="str">
        <f>"50,00"</f>
        <v>50,00</v>
      </c>
      <c r="AM197" s="4" t="str">
        <f>"2020-2022"</f>
        <v>2020-2022</v>
      </c>
      <c r="AN197" s="4" t="str">
        <f t="shared" si="222"/>
        <v>нет</v>
      </c>
      <c r="AO197" s="4" t="str">
        <f>""</f>
        <v/>
      </c>
      <c r="AP197" s="4" t="str">
        <f>""</f>
        <v/>
      </c>
      <c r="AQ197" s="4" t="str">
        <f>""</f>
        <v/>
      </c>
      <c r="AR197" s="4" t="str">
        <f t="shared" si="218"/>
        <v>нет</v>
      </c>
      <c r="AS197" s="4" t="str">
        <f>""</f>
        <v/>
      </c>
      <c r="AT197" s="4" t="str">
        <f>""</f>
        <v/>
      </c>
      <c r="AU197" s="4" t="str">
        <f>""</f>
        <v/>
      </c>
      <c r="AV197" s="4" t="str">
        <f t="shared" si="223"/>
        <v>х</v>
      </c>
      <c r="AW197" s="4" t="str">
        <f t="shared" si="223"/>
        <v>х</v>
      </c>
      <c r="AX197" s="4" t="str">
        <f t="shared" si="223"/>
        <v>х</v>
      </c>
      <c r="AY197" s="4" t="str">
        <f t="shared" si="223"/>
        <v>х</v>
      </c>
      <c r="AZ197" s="4" t="str">
        <f t="shared" si="223"/>
        <v>х</v>
      </c>
      <c r="BA197" s="4" t="str">
        <f t="shared" si="223"/>
        <v>х</v>
      </c>
      <c r="BB197" s="4" t="str">
        <f t="shared" si="223"/>
        <v>х</v>
      </c>
      <c r="BC197" s="4" t="str">
        <f t="shared" si="223"/>
        <v>х</v>
      </c>
      <c r="BD197" s="4" t="str">
        <f t="shared" si="223"/>
        <v>х</v>
      </c>
      <c r="BE197" s="4" t="str">
        <f t="shared" si="223"/>
        <v>х</v>
      </c>
      <c r="BF197" s="4" t="str">
        <f t="shared" si="223"/>
        <v>х</v>
      </c>
      <c r="BG197" s="4" t="str">
        <f>"1961"</f>
        <v>1961</v>
      </c>
      <c r="BH197" s="4" t="str">
        <f>"50,00"</f>
        <v>50,00</v>
      </c>
      <c r="BI197" s="4" t="str">
        <f>"2030-2032"</f>
        <v>2030-2032</v>
      </c>
      <c r="BJ197" s="4" t="str">
        <f t="shared" si="219"/>
        <v>нет</v>
      </c>
      <c r="BK197" s="4" t="str">
        <f t="shared" si="224"/>
        <v>х</v>
      </c>
      <c r="BL197" s="4" t="str">
        <f t="shared" si="224"/>
        <v>х</v>
      </c>
      <c r="BM197" s="4" t="str">
        <f t="shared" si="224"/>
        <v>х</v>
      </c>
      <c r="BN197" s="4" t="str">
        <f>"нет"</f>
        <v>нет</v>
      </c>
      <c r="BO197" s="4" t="str">
        <f t="shared" si="225"/>
        <v>х</v>
      </c>
      <c r="BP197" s="4" t="str">
        <f t="shared" si="225"/>
        <v>х</v>
      </c>
      <c r="BQ197" s="4" t="str">
        <f t="shared" si="225"/>
        <v>х</v>
      </c>
      <c r="BR197" s="4" t="str">
        <f>"1961"</f>
        <v>1961</v>
      </c>
      <c r="BS197" s="4" t="str">
        <f>"55,00"</f>
        <v>55,00</v>
      </c>
      <c r="BT197" s="4" t="str">
        <f>"2020-2022"</f>
        <v>2020-2022</v>
      </c>
      <c r="BU197" s="4" t="str">
        <f t="shared" si="153"/>
        <v>нет</v>
      </c>
      <c r="BV197" s="4" t="str">
        <f t="shared" si="220"/>
        <v>x</v>
      </c>
      <c r="BW197" s="4" t="str">
        <f t="shared" si="220"/>
        <v>x</v>
      </c>
      <c r="BX197" s="4" t="str">
        <f t="shared" si="220"/>
        <v>x</v>
      </c>
      <c r="BY197" s="4" t="str">
        <f t="shared" si="192"/>
        <v>нет</v>
      </c>
      <c r="BZ197" s="4" t="str">
        <f t="shared" si="193"/>
        <v>x</v>
      </c>
      <c r="CA197" s="4" t="str">
        <f t="shared" si="193"/>
        <v>x</v>
      </c>
      <c r="CB197" s="4" t="str">
        <f t="shared" si="193"/>
        <v>x</v>
      </c>
      <c r="CC197" s="4" t="str">
        <f>"1961"</f>
        <v>1961</v>
      </c>
      <c r="CD197" s="4" t="str">
        <f>"55,00"</f>
        <v>55,00</v>
      </c>
      <c r="CE197" s="4" t="str">
        <f>"2020-2022"</f>
        <v>2020-2022</v>
      </c>
      <c r="CF197" s="4" t="str">
        <f>"1961"</f>
        <v>1961</v>
      </c>
      <c r="CG197" s="4" t="str">
        <f>"50,00"</f>
        <v>50,00</v>
      </c>
      <c r="CH197" s="4" t="str">
        <f>"2040-2042"</f>
        <v>2040-2042</v>
      </c>
      <c r="CI197" s="4" t="str">
        <f>"52,00"</f>
        <v>52,00</v>
      </c>
      <c r="CJ197" s="4" t="str">
        <f>"2020-2022"</f>
        <v>2020-2022</v>
      </c>
    </row>
    <row r="198" spans="1:88" ht="11.25" customHeight="1">
      <c r="A198" s="45" t="str">
        <f>"24.185"</f>
        <v>24.185</v>
      </c>
      <c r="B198" s="46" t="str">
        <f>"г. Харовск, ул.Пушкина, д.14"</f>
        <v>г. Харовск, ул.Пушкина, д.14</v>
      </c>
      <c r="C198" s="6" t="str">
        <f t="shared" ref="C198:D200" si="226">"1966"</f>
        <v>1966</v>
      </c>
      <c r="D198" s="4" t="str">
        <f t="shared" si="226"/>
        <v>1966</v>
      </c>
      <c r="E198" s="4" t="str">
        <f>"35,00"</f>
        <v>35,00</v>
      </c>
      <c r="F198" s="4" t="str">
        <f>"2022-2024"</f>
        <v>2022-2024</v>
      </c>
      <c r="G198" s="4" t="str">
        <f t="shared" si="211"/>
        <v>нет</v>
      </c>
      <c r="H198" s="4" t="str">
        <f>""</f>
        <v/>
      </c>
      <c r="I198" s="4" t="str">
        <f>""</f>
        <v/>
      </c>
      <c r="J198" s="4" t="str">
        <f>""</f>
        <v/>
      </c>
      <c r="K198" s="4" t="str">
        <f t="shared" si="151"/>
        <v>нет</v>
      </c>
      <c r="L198" s="4" t="str">
        <f>""</f>
        <v/>
      </c>
      <c r="M198" s="4" t="str">
        <f>""</f>
        <v/>
      </c>
      <c r="N198" s="4" t="str">
        <f>""</f>
        <v/>
      </c>
      <c r="O198" s="7" t="str">
        <f>"1966"</f>
        <v>1966</v>
      </c>
      <c r="P198" s="4" t="str">
        <f>"35,00"</f>
        <v>35,00</v>
      </c>
      <c r="Q198" s="4" t="str">
        <f>"2022-2024"</f>
        <v>2022-2024</v>
      </c>
      <c r="R198" s="4" t="str">
        <f>"нет"</f>
        <v>нет</v>
      </c>
      <c r="S198" s="4" t="str">
        <f>""</f>
        <v/>
      </c>
      <c r="T198" s="4" t="str">
        <f>""</f>
        <v/>
      </c>
      <c r="U198" s="4" t="str">
        <f>"2022-2024"</f>
        <v>2022-2024</v>
      </c>
      <c r="V198" s="4" t="str">
        <f t="shared" si="216"/>
        <v>нет</v>
      </c>
      <c r="W198" s="4" t="str">
        <f>""</f>
        <v/>
      </c>
      <c r="X198" s="4" t="str">
        <f>""</f>
        <v/>
      </c>
      <c r="Y198" s="8" t="str">
        <f>""</f>
        <v/>
      </c>
      <c r="Z198" s="4" t="str">
        <f t="shared" si="221"/>
        <v>х</v>
      </c>
      <c r="AA198" s="4" t="str">
        <f t="shared" si="221"/>
        <v>х</v>
      </c>
      <c r="AB198" s="4" t="str">
        <f t="shared" si="221"/>
        <v>х</v>
      </c>
      <c r="AC198" s="4" t="str">
        <f t="shared" si="221"/>
        <v>х</v>
      </c>
      <c r="AD198" s="4" t="str">
        <f t="shared" si="221"/>
        <v>х</v>
      </c>
      <c r="AE198" s="4" t="str">
        <f t="shared" si="221"/>
        <v>х</v>
      </c>
      <c r="AF198" s="4" t="str">
        <f t="shared" si="221"/>
        <v>х</v>
      </c>
      <c r="AG198" s="4" t="str">
        <f t="shared" si="221"/>
        <v>х</v>
      </c>
      <c r="AH198" s="4" t="str">
        <f t="shared" si="221"/>
        <v>х</v>
      </c>
      <c r="AI198" s="4" t="str">
        <f t="shared" si="221"/>
        <v>х</v>
      </c>
      <c r="AJ198" s="4" t="str">
        <f t="shared" si="221"/>
        <v>х</v>
      </c>
      <c r="AK198" s="7" t="str">
        <f>"1966"</f>
        <v>1966</v>
      </c>
      <c r="AL198" s="4" t="str">
        <f>"35,00"</f>
        <v>35,00</v>
      </c>
      <c r="AM198" s="4" t="str">
        <f>"2022-2024"</f>
        <v>2022-2024</v>
      </c>
      <c r="AN198" s="4" t="str">
        <f t="shared" si="222"/>
        <v>нет</v>
      </c>
      <c r="AO198" s="4" t="str">
        <f>""</f>
        <v/>
      </c>
      <c r="AP198" s="4" t="str">
        <f>""</f>
        <v/>
      </c>
      <c r="AQ198" s="4" t="str">
        <f>""</f>
        <v/>
      </c>
      <c r="AR198" s="4" t="str">
        <f t="shared" si="218"/>
        <v>нет</v>
      </c>
      <c r="AS198" s="4" t="str">
        <f>""</f>
        <v/>
      </c>
      <c r="AT198" s="4" t="str">
        <f>""</f>
        <v/>
      </c>
      <c r="AU198" s="4" t="str">
        <f>""</f>
        <v/>
      </c>
      <c r="AV198" s="4" t="str">
        <f t="shared" si="223"/>
        <v>х</v>
      </c>
      <c r="AW198" s="4" t="str">
        <f t="shared" si="223"/>
        <v>х</v>
      </c>
      <c r="AX198" s="4" t="str">
        <f t="shared" si="223"/>
        <v>х</v>
      </c>
      <c r="AY198" s="4" t="str">
        <f t="shared" si="223"/>
        <v>х</v>
      </c>
      <c r="AZ198" s="4" t="str">
        <f t="shared" si="223"/>
        <v>х</v>
      </c>
      <c r="BA198" s="4" t="str">
        <f t="shared" si="223"/>
        <v>х</v>
      </c>
      <c r="BB198" s="4" t="str">
        <f t="shared" si="223"/>
        <v>х</v>
      </c>
      <c r="BC198" s="4" t="str">
        <f t="shared" si="223"/>
        <v>х</v>
      </c>
      <c r="BD198" s="4" t="str">
        <f t="shared" si="223"/>
        <v>х</v>
      </c>
      <c r="BE198" s="4" t="str">
        <f t="shared" si="223"/>
        <v>х</v>
      </c>
      <c r="BF198" s="4" t="str">
        <f t="shared" si="223"/>
        <v>х</v>
      </c>
      <c r="BG198" s="4" t="str">
        <f>"1966"</f>
        <v>1966</v>
      </c>
      <c r="BH198" s="4" t="str">
        <f>"35,00"</f>
        <v>35,00</v>
      </c>
      <c r="BI198" s="4" t="str">
        <f>"2036-2038"</f>
        <v>2036-2038</v>
      </c>
      <c r="BJ198" s="4" t="str">
        <f t="shared" si="219"/>
        <v>нет</v>
      </c>
      <c r="BK198" s="4" t="str">
        <f t="shared" si="224"/>
        <v>х</v>
      </c>
      <c r="BL198" s="4" t="str">
        <f t="shared" si="224"/>
        <v>х</v>
      </c>
      <c r="BM198" s="4" t="str">
        <f t="shared" si="224"/>
        <v>х</v>
      </c>
      <c r="BN198" s="4" t="str">
        <f>"х"</f>
        <v>х</v>
      </c>
      <c r="BO198" s="4" t="str">
        <f t="shared" si="225"/>
        <v>х</v>
      </c>
      <c r="BP198" s="4" t="str">
        <f t="shared" si="225"/>
        <v>х</v>
      </c>
      <c r="BQ198" s="4" t="str">
        <f t="shared" si="225"/>
        <v>х</v>
      </c>
      <c r="BR198" s="4" t="str">
        <f>"1966"</f>
        <v>1966</v>
      </c>
      <c r="BS198" s="4" t="str">
        <f>"45,00"</f>
        <v>45,00</v>
      </c>
      <c r="BT198" s="4" t="str">
        <f>"2022-2024"</f>
        <v>2022-2024</v>
      </c>
      <c r="BU198" s="4" t="str">
        <f t="shared" si="153"/>
        <v>нет</v>
      </c>
      <c r="BV198" s="4" t="str">
        <f t="shared" si="220"/>
        <v>x</v>
      </c>
      <c r="BW198" s="4" t="str">
        <f t="shared" si="220"/>
        <v>x</v>
      </c>
      <c r="BX198" s="4" t="str">
        <f t="shared" si="220"/>
        <v>x</v>
      </c>
      <c r="BY198" s="4" t="str">
        <f t="shared" si="192"/>
        <v>нет</v>
      </c>
      <c r="BZ198" s="4" t="str">
        <f t="shared" si="193"/>
        <v>x</v>
      </c>
      <c r="CA198" s="4" t="str">
        <f t="shared" si="193"/>
        <v>x</v>
      </c>
      <c r="CB198" s="4" t="str">
        <f t="shared" si="193"/>
        <v>x</v>
      </c>
      <c r="CC198" s="4" t="str">
        <f>"1966"</f>
        <v>1966</v>
      </c>
      <c r="CD198" s="4" t="str">
        <f>"40,00"</f>
        <v>40,00</v>
      </c>
      <c r="CE198" s="4" t="str">
        <f>"2022-2024"</f>
        <v>2022-2024</v>
      </c>
      <c r="CF198" s="4" t="str">
        <f>"1966"</f>
        <v>1966</v>
      </c>
      <c r="CG198" s="4" t="str">
        <f>"45,00"</f>
        <v>45,00</v>
      </c>
      <c r="CH198" s="4" t="str">
        <f>"2036-2038"</f>
        <v>2036-2038</v>
      </c>
      <c r="CI198" s="4" t="str">
        <f>"39,00"</f>
        <v>39,00</v>
      </c>
      <c r="CJ198" s="4" t="str">
        <f>"2022-2024"</f>
        <v>2022-2024</v>
      </c>
    </row>
    <row r="199" spans="1:88" ht="11.25" customHeight="1">
      <c r="A199" s="45" t="str">
        <f>"24.186"</f>
        <v>24.186</v>
      </c>
      <c r="B199" s="46" t="str">
        <f>"г. Харовск, ул.Пушкина, д.16"</f>
        <v>г. Харовск, ул.Пушкина, д.16</v>
      </c>
      <c r="C199" s="6" t="str">
        <f t="shared" si="226"/>
        <v>1966</v>
      </c>
      <c r="D199" s="4" t="str">
        <f t="shared" si="226"/>
        <v>1966</v>
      </c>
      <c r="E199" s="4" t="str">
        <f>"30,00"</f>
        <v>30,00</v>
      </c>
      <c r="F199" s="4" t="str">
        <f>"2042-2044"</f>
        <v>2042-2044</v>
      </c>
      <c r="G199" s="4" t="str">
        <f t="shared" si="211"/>
        <v>нет</v>
      </c>
      <c r="H199" s="4" t="str">
        <f>""</f>
        <v/>
      </c>
      <c r="I199" s="4" t="str">
        <f>""</f>
        <v/>
      </c>
      <c r="J199" s="4" t="str">
        <f>""</f>
        <v/>
      </c>
      <c r="K199" s="4" t="str">
        <f t="shared" si="151"/>
        <v>нет</v>
      </c>
      <c r="L199" s="4" t="str">
        <f>""</f>
        <v/>
      </c>
      <c r="M199" s="4" t="str">
        <f>""</f>
        <v/>
      </c>
      <c r="N199" s="4" t="str">
        <f>""</f>
        <v/>
      </c>
      <c r="O199" s="7" t="str">
        <f>"1966"</f>
        <v>1966</v>
      </c>
      <c r="P199" s="4" t="str">
        <f>"30,00"</f>
        <v>30,00</v>
      </c>
      <c r="Q199" s="4" t="str">
        <f>"2022-2024"</f>
        <v>2022-2024</v>
      </c>
      <c r="R199" s="4" t="str">
        <f>"да"</f>
        <v>да</v>
      </c>
      <c r="S199" s="4" t="str">
        <f>"2012"</f>
        <v>2012</v>
      </c>
      <c r="T199" s="4" t="str">
        <f>"25,00"</f>
        <v>25,00</v>
      </c>
      <c r="U199" s="4" t="str">
        <f>"2022-2024"</f>
        <v>2022-2024</v>
      </c>
      <c r="V199" s="4" t="str">
        <f t="shared" si="216"/>
        <v>нет</v>
      </c>
      <c r="W199" s="4" t="str">
        <f>""</f>
        <v/>
      </c>
      <c r="X199" s="4" t="str">
        <f>""</f>
        <v/>
      </c>
      <c r="Y199" s="8" t="str">
        <f>""</f>
        <v/>
      </c>
      <c r="Z199" s="4" t="str">
        <f t="shared" si="221"/>
        <v>х</v>
      </c>
      <c r="AA199" s="4" t="str">
        <f t="shared" si="221"/>
        <v>х</v>
      </c>
      <c r="AB199" s="4" t="str">
        <f t="shared" si="221"/>
        <v>х</v>
      </c>
      <c r="AC199" s="4" t="str">
        <f t="shared" si="221"/>
        <v>х</v>
      </c>
      <c r="AD199" s="4" t="str">
        <f t="shared" si="221"/>
        <v>х</v>
      </c>
      <c r="AE199" s="4" t="str">
        <f t="shared" si="221"/>
        <v>х</v>
      </c>
      <c r="AF199" s="4" t="str">
        <f t="shared" si="221"/>
        <v>х</v>
      </c>
      <c r="AG199" s="4" t="str">
        <f t="shared" si="221"/>
        <v>х</v>
      </c>
      <c r="AH199" s="4" t="str">
        <f t="shared" si="221"/>
        <v>х</v>
      </c>
      <c r="AI199" s="4" t="str">
        <f t="shared" si="221"/>
        <v>х</v>
      </c>
      <c r="AJ199" s="4" t="str">
        <f t="shared" si="221"/>
        <v>х</v>
      </c>
      <c r="AK199" s="7" t="str">
        <f>"1966"</f>
        <v>1966</v>
      </c>
      <c r="AL199" s="4" t="str">
        <f>"30,00"</f>
        <v>30,00</v>
      </c>
      <c r="AM199" s="4" t="str">
        <f>"2042-2044"</f>
        <v>2042-2044</v>
      </c>
      <c r="AN199" s="4" t="str">
        <f t="shared" si="222"/>
        <v>нет</v>
      </c>
      <c r="AO199" s="4" t="str">
        <f>""</f>
        <v/>
      </c>
      <c r="AP199" s="4" t="str">
        <f>""</f>
        <v/>
      </c>
      <c r="AQ199" s="4" t="str">
        <f>""</f>
        <v/>
      </c>
      <c r="AR199" s="4" t="str">
        <f t="shared" si="218"/>
        <v>нет</v>
      </c>
      <c r="AS199" s="4" t="str">
        <f>""</f>
        <v/>
      </c>
      <c r="AT199" s="4" t="str">
        <f>""</f>
        <v/>
      </c>
      <c r="AU199" s="4" t="str">
        <f>""</f>
        <v/>
      </c>
      <c r="AV199" s="4" t="str">
        <f t="shared" si="223"/>
        <v>х</v>
      </c>
      <c r="AW199" s="4" t="str">
        <f t="shared" si="223"/>
        <v>х</v>
      </c>
      <c r="AX199" s="4" t="str">
        <f t="shared" si="223"/>
        <v>х</v>
      </c>
      <c r="AY199" s="4" t="str">
        <f t="shared" si="223"/>
        <v>х</v>
      </c>
      <c r="AZ199" s="4" t="str">
        <f t="shared" si="223"/>
        <v>х</v>
      </c>
      <c r="BA199" s="4" t="str">
        <f t="shared" si="223"/>
        <v>х</v>
      </c>
      <c r="BB199" s="4" t="str">
        <f t="shared" si="223"/>
        <v>х</v>
      </c>
      <c r="BC199" s="4" t="str">
        <f t="shared" si="223"/>
        <v>х</v>
      </c>
      <c r="BD199" s="4" t="str">
        <f t="shared" si="223"/>
        <v>х</v>
      </c>
      <c r="BE199" s="4" t="str">
        <f t="shared" si="223"/>
        <v>х</v>
      </c>
      <c r="BF199" s="4" t="str">
        <f t="shared" si="223"/>
        <v>х</v>
      </c>
      <c r="BG199" s="4" t="str">
        <f>"1966"</f>
        <v>1966</v>
      </c>
      <c r="BH199" s="4" t="str">
        <f>"30,00"</f>
        <v>30,00</v>
      </c>
      <c r="BI199" s="4" t="str">
        <f>"2042-2044"</f>
        <v>2042-2044</v>
      </c>
      <c r="BJ199" s="4" t="str">
        <f t="shared" si="219"/>
        <v>нет</v>
      </c>
      <c r="BK199" s="4" t="str">
        <f>""</f>
        <v/>
      </c>
      <c r="BL199" s="4" t="str">
        <f>""</f>
        <v/>
      </c>
      <c r="BM199" s="4" t="str">
        <f>""</f>
        <v/>
      </c>
      <c r="BN199" s="4" t="str">
        <f t="shared" ref="BN199:BN205" si="227">"нет"</f>
        <v>нет</v>
      </c>
      <c r="BO199" s="4" t="str">
        <f>""</f>
        <v/>
      </c>
      <c r="BP199" s="4" t="str">
        <f>""</f>
        <v/>
      </c>
      <c r="BQ199" s="4" t="str">
        <f>""</f>
        <v/>
      </c>
      <c r="BR199" s="4" t="str">
        <f>"1966"</f>
        <v>1966</v>
      </c>
      <c r="BS199" s="4" t="str">
        <f>"45,00"</f>
        <v>45,00</v>
      </c>
      <c r="BT199" s="4" t="str">
        <f>"2022-2024"</f>
        <v>2022-2024</v>
      </c>
      <c r="BU199" s="4" t="str">
        <f t="shared" si="153"/>
        <v>нет</v>
      </c>
      <c r="BV199" s="4" t="str">
        <f t="shared" si="220"/>
        <v>x</v>
      </c>
      <c r="BW199" s="4" t="str">
        <f t="shared" si="220"/>
        <v>x</v>
      </c>
      <c r="BX199" s="4" t="str">
        <f t="shared" si="220"/>
        <v>x</v>
      </c>
      <c r="BY199" s="4" t="str">
        <f t="shared" si="192"/>
        <v>нет</v>
      </c>
      <c r="BZ199" s="4" t="str">
        <f>"1966"</f>
        <v>1966</v>
      </c>
      <c r="CA199" s="4" t="str">
        <f>"34,00"</f>
        <v>34,00</v>
      </c>
      <c r="CB199" s="4" t="str">
        <f>"2022-2024"</f>
        <v>2022-2024</v>
      </c>
      <c r="CC199" s="4" t="str">
        <f>"1966"</f>
        <v>1966</v>
      </c>
      <c r="CD199" s="4" t="str">
        <f>"35,00"</f>
        <v>35,00</v>
      </c>
      <c r="CE199" s="4" t="str">
        <f>"2042-2044"</f>
        <v>2042-2044</v>
      </c>
      <c r="CF199" s="4" t="str">
        <f>"1966"</f>
        <v>1966</v>
      </c>
      <c r="CG199" s="4" t="str">
        <f>"35,00"</f>
        <v>35,00</v>
      </c>
      <c r="CH199" s="4" t="str">
        <f>"2042-2044"</f>
        <v>2042-2044</v>
      </c>
      <c r="CI199" s="4" t="str">
        <f>"34,00"</f>
        <v>34,00</v>
      </c>
      <c r="CJ199" s="4" t="str">
        <f>"2022-2024"</f>
        <v>2022-2024</v>
      </c>
    </row>
    <row r="200" spans="1:88" ht="11.25" customHeight="1">
      <c r="A200" s="45" t="str">
        <f>"24.187"</f>
        <v>24.187</v>
      </c>
      <c r="B200" s="46" t="str">
        <f>"г. Харовск, ул.Пушкина, д.18"</f>
        <v>г. Харовск, ул.Пушкина, д.18</v>
      </c>
      <c r="C200" s="6" t="str">
        <f t="shared" si="226"/>
        <v>1966</v>
      </c>
      <c r="D200" s="4" t="str">
        <f t="shared" si="226"/>
        <v>1966</v>
      </c>
      <c r="E200" s="4" t="str">
        <f>"50,00"</f>
        <v>50,00</v>
      </c>
      <c r="F200" s="4" t="str">
        <f>"2022-2024"</f>
        <v>2022-2024</v>
      </c>
      <c r="G200" s="4" t="str">
        <f t="shared" si="211"/>
        <v>нет</v>
      </c>
      <c r="H200" s="4" t="str">
        <f>""</f>
        <v/>
      </c>
      <c r="I200" s="4" t="str">
        <f>""</f>
        <v/>
      </c>
      <c r="J200" s="4" t="str">
        <f>""</f>
        <v/>
      </c>
      <c r="K200" s="4" t="str">
        <f t="shared" si="151"/>
        <v>нет</v>
      </c>
      <c r="L200" s="4" t="str">
        <f>""</f>
        <v/>
      </c>
      <c r="M200" s="4" t="str">
        <f>""</f>
        <v/>
      </c>
      <c r="N200" s="4" t="str">
        <f>""</f>
        <v/>
      </c>
      <c r="O200" s="7" t="str">
        <f>"1966"</f>
        <v>1966</v>
      </c>
      <c r="P200" s="4" t="str">
        <f>"50,00"</f>
        <v>50,00</v>
      </c>
      <c r="Q200" s="4" t="str">
        <f>"2032-2034"</f>
        <v>2032-2034</v>
      </c>
      <c r="R200" s="4" t="str">
        <f>"нет"</f>
        <v>нет</v>
      </c>
      <c r="S200" s="4" t="str">
        <f>""</f>
        <v/>
      </c>
      <c r="T200" s="4" t="str">
        <f>""</f>
        <v/>
      </c>
      <c r="U200" s="4" t="str">
        <f>""</f>
        <v/>
      </c>
      <c r="V200" s="4" t="str">
        <f t="shared" si="216"/>
        <v>нет</v>
      </c>
      <c r="W200" s="4" t="str">
        <f>""</f>
        <v/>
      </c>
      <c r="X200" s="4" t="str">
        <f>""</f>
        <v/>
      </c>
      <c r="Y200" s="8" t="str">
        <f>""</f>
        <v/>
      </c>
      <c r="Z200" s="4" t="str">
        <f t="shared" si="221"/>
        <v>х</v>
      </c>
      <c r="AA200" s="4" t="str">
        <f t="shared" si="221"/>
        <v>х</v>
      </c>
      <c r="AB200" s="4" t="str">
        <f t="shared" si="221"/>
        <v>х</v>
      </c>
      <c r="AC200" s="4" t="str">
        <f t="shared" si="221"/>
        <v>х</v>
      </c>
      <c r="AD200" s="4" t="str">
        <f t="shared" si="221"/>
        <v>х</v>
      </c>
      <c r="AE200" s="4" t="str">
        <f t="shared" si="221"/>
        <v>х</v>
      </c>
      <c r="AF200" s="4" t="str">
        <f t="shared" si="221"/>
        <v>х</v>
      </c>
      <c r="AG200" s="4" t="str">
        <f t="shared" si="221"/>
        <v>х</v>
      </c>
      <c r="AH200" s="4" t="str">
        <f t="shared" si="221"/>
        <v>х</v>
      </c>
      <c r="AI200" s="4" t="str">
        <f t="shared" si="221"/>
        <v>х</v>
      </c>
      <c r="AJ200" s="4" t="str">
        <f t="shared" si="221"/>
        <v>х</v>
      </c>
      <c r="AK200" s="7" t="str">
        <f>"1966"</f>
        <v>1966</v>
      </c>
      <c r="AL200" s="4" t="str">
        <f>"50,00"</f>
        <v>50,00</v>
      </c>
      <c r="AM200" s="4" t="str">
        <f>"2022-2024"</f>
        <v>2022-2024</v>
      </c>
      <c r="AN200" s="4" t="str">
        <f t="shared" si="222"/>
        <v>нет</v>
      </c>
      <c r="AO200" s="4" t="str">
        <f>""</f>
        <v/>
      </c>
      <c r="AP200" s="4" t="str">
        <f>""</f>
        <v/>
      </c>
      <c r="AQ200" s="4" t="str">
        <f>""</f>
        <v/>
      </c>
      <c r="AR200" s="4" t="str">
        <f t="shared" si="218"/>
        <v>нет</v>
      </c>
      <c r="AS200" s="4" t="str">
        <f>""</f>
        <v/>
      </c>
      <c r="AT200" s="4" t="str">
        <f>""</f>
        <v/>
      </c>
      <c r="AU200" s="4" t="str">
        <f>""</f>
        <v/>
      </c>
      <c r="AV200" s="4" t="str">
        <f t="shared" si="223"/>
        <v>х</v>
      </c>
      <c r="AW200" s="4" t="str">
        <f t="shared" si="223"/>
        <v>х</v>
      </c>
      <c r="AX200" s="4" t="str">
        <f t="shared" si="223"/>
        <v>х</v>
      </c>
      <c r="AY200" s="4" t="str">
        <f t="shared" si="223"/>
        <v>х</v>
      </c>
      <c r="AZ200" s="4" t="str">
        <f t="shared" si="223"/>
        <v>х</v>
      </c>
      <c r="BA200" s="4" t="str">
        <f t="shared" si="223"/>
        <v>х</v>
      </c>
      <c r="BB200" s="4" t="str">
        <f t="shared" si="223"/>
        <v>х</v>
      </c>
      <c r="BC200" s="4" t="str">
        <f t="shared" si="223"/>
        <v>х</v>
      </c>
      <c r="BD200" s="4" t="str">
        <f t="shared" si="223"/>
        <v>х</v>
      </c>
      <c r="BE200" s="4" t="str">
        <f t="shared" si="223"/>
        <v>х</v>
      </c>
      <c r="BF200" s="4" t="str">
        <f t="shared" si="223"/>
        <v>х</v>
      </c>
      <c r="BG200" s="4" t="str">
        <f>"1966"</f>
        <v>1966</v>
      </c>
      <c r="BH200" s="4" t="str">
        <f>"50,00"</f>
        <v>50,00</v>
      </c>
      <c r="BI200" s="4" t="str">
        <f>"2022-2024"</f>
        <v>2022-2024</v>
      </c>
      <c r="BJ200" s="4" t="str">
        <f t="shared" si="219"/>
        <v>нет</v>
      </c>
      <c r="BK200" s="4" t="str">
        <f>""</f>
        <v/>
      </c>
      <c r="BL200" s="4" t="str">
        <f>""</f>
        <v/>
      </c>
      <c r="BM200" s="4" t="str">
        <f>""</f>
        <v/>
      </c>
      <c r="BN200" s="4" t="str">
        <f t="shared" si="227"/>
        <v>нет</v>
      </c>
      <c r="BO200" s="4" t="str">
        <f>""</f>
        <v/>
      </c>
      <c r="BP200" s="4" t="str">
        <f>""</f>
        <v/>
      </c>
      <c r="BQ200" s="4" t="str">
        <f>""</f>
        <v/>
      </c>
      <c r="BR200" s="4" t="str">
        <f>"1966"</f>
        <v>1966</v>
      </c>
      <c r="BS200" s="4" t="str">
        <f>"55,00"</f>
        <v>55,00</v>
      </c>
      <c r="BT200" s="4" t="str">
        <f>"2032-2034"</f>
        <v>2032-2034</v>
      </c>
      <c r="BU200" s="4" t="str">
        <f t="shared" si="153"/>
        <v>нет</v>
      </c>
      <c r="BV200" s="4" t="str">
        <f t="shared" si="220"/>
        <v>x</v>
      </c>
      <c r="BW200" s="4" t="str">
        <f t="shared" si="220"/>
        <v>x</v>
      </c>
      <c r="BX200" s="4" t="str">
        <f t="shared" si="220"/>
        <v>x</v>
      </c>
      <c r="BY200" s="4" t="str">
        <f t="shared" si="192"/>
        <v>нет</v>
      </c>
      <c r="BZ200" s="4" t="str">
        <f t="shared" ref="BZ200:CB219" si="228">"x"</f>
        <v>x</v>
      </c>
      <c r="CA200" s="4" t="str">
        <f t="shared" si="228"/>
        <v>x</v>
      </c>
      <c r="CB200" s="4" t="str">
        <f t="shared" si="228"/>
        <v>x</v>
      </c>
      <c r="CC200" s="4" t="str">
        <f>"1966"</f>
        <v>1966</v>
      </c>
      <c r="CD200" s="4" t="str">
        <f>"50,00"</f>
        <v>50,00</v>
      </c>
      <c r="CE200" s="4" t="str">
        <f>"2022-2024"</f>
        <v>2022-2024</v>
      </c>
      <c r="CF200" s="4" t="str">
        <f>"1966"</f>
        <v>1966</v>
      </c>
      <c r="CG200" s="4" t="str">
        <f>"45,00"</f>
        <v>45,00</v>
      </c>
      <c r="CH200" s="4" t="str">
        <f>"2032-2034"</f>
        <v>2032-2034</v>
      </c>
      <c r="CI200" s="4" t="str">
        <f>"45,00"</f>
        <v>45,00</v>
      </c>
      <c r="CJ200" s="4" t="str">
        <f>"2022-2024"</f>
        <v>2022-2024</v>
      </c>
    </row>
    <row r="201" spans="1:88" ht="11.25" customHeight="1">
      <c r="A201" s="45" t="str">
        <f>"24.188"</f>
        <v>24.188</v>
      </c>
      <c r="B201" s="46" t="str">
        <f>"г. Харовск, ул.Пушкина, д.4"</f>
        <v>г. Харовск, ул.Пушкина, д.4</v>
      </c>
      <c r="C201" s="6" t="str">
        <f>"1960"</f>
        <v>1960</v>
      </c>
      <c r="D201" s="4" t="str">
        <f>"1960"</f>
        <v>1960</v>
      </c>
      <c r="E201" s="4" t="str">
        <f>"35,00"</f>
        <v>35,00</v>
      </c>
      <c r="F201" s="4" t="str">
        <f>"2029-2031"</f>
        <v>2029-2031</v>
      </c>
      <c r="G201" s="4" t="str">
        <f t="shared" si="211"/>
        <v>нет</v>
      </c>
      <c r="H201" s="4" t="str">
        <f>""</f>
        <v/>
      </c>
      <c r="I201" s="4" t="str">
        <f>""</f>
        <v/>
      </c>
      <c r="J201" s="4" t="str">
        <f>""</f>
        <v/>
      </c>
      <c r="K201" s="4" t="str">
        <f t="shared" si="151"/>
        <v>нет</v>
      </c>
      <c r="L201" s="4" t="str">
        <f>""</f>
        <v/>
      </c>
      <c r="M201" s="4" t="str">
        <f>""</f>
        <v/>
      </c>
      <c r="N201" s="4" t="str">
        <f>""</f>
        <v/>
      </c>
      <c r="O201" s="7" t="str">
        <f>"1960"</f>
        <v>1960</v>
      </c>
      <c r="P201" s="4" t="str">
        <f>"35,00"</f>
        <v>35,00</v>
      </c>
      <c r="Q201" s="4" t="str">
        <f>"2019-2021"</f>
        <v>2019-2021</v>
      </c>
      <c r="R201" s="4" t="str">
        <f>"нет"</f>
        <v>нет</v>
      </c>
      <c r="S201" s="4" t="str">
        <f>""</f>
        <v/>
      </c>
      <c r="T201" s="4" t="str">
        <f>""</f>
        <v/>
      </c>
      <c r="U201" s="4" t="str">
        <f>"2019-2021"</f>
        <v>2019-2021</v>
      </c>
      <c r="V201" s="4" t="str">
        <f t="shared" si="216"/>
        <v>нет</v>
      </c>
      <c r="W201" s="4" t="str">
        <f>""</f>
        <v/>
      </c>
      <c r="X201" s="4" t="str">
        <f>""</f>
        <v/>
      </c>
      <c r="Y201" s="8" t="str">
        <f>""</f>
        <v/>
      </c>
      <c r="Z201" s="4" t="str">
        <f t="shared" si="221"/>
        <v>х</v>
      </c>
      <c r="AA201" s="4" t="str">
        <f t="shared" si="221"/>
        <v>х</v>
      </c>
      <c r="AB201" s="4" t="str">
        <f t="shared" si="221"/>
        <v>х</v>
      </c>
      <c r="AC201" s="4" t="str">
        <f t="shared" si="221"/>
        <v>х</v>
      </c>
      <c r="AD201" s="4" t="str">
        <f t="shared" si="221"/>
        <v>х</v>
      </c>
      <c r="AE201" s="4" t="str">
        <f t="shared" si="221"/>
        <v>х</v>
      </c>
      <c r="AF201" s="4" t="str">
        <f t="shared" si="221"/>
        <v>х</v>
      </c>
      <c r="AG201" s="4" t="str">
        <f t="shared" si="221"/>
        <v>х</v>
      </c>
      <c r="AH201" s="4" t="str">
        <f t="shared" si="221"/>
        <v>х</v>
      </c>
      <c r="AI201" s="4" t="str">
        <f t="shared" si="221"/>
        <v>х</v>
      </c>
      <c r="AJ201" s="4" t="str">
        <f t="shared" si="221"/>
        <v>х</v>
      </c>
      <c r="AK201" s="7" t="str">
        <f>"1960"</f>
        <v>1960</v>
      </c>
      <c r="AL201" s="4" t="str">
        <f>"35,00"</f>
        <v>35,00</v>
      </c>
      <c r="AM201" s="4" t="str">
        <f>"2029-2031"</f>
        <v>2029-2031</v>
      </c>
      <c r="AN201" s="4" t="str">
        <f t="shared" si="222"/>
        <v>нет</v>
      </c>
      <c r="AO201" s="4" t="str">
        <f>""</f>
        <v/>
      </c>
      <c r="AP201" s="4" t="str">
        <f>""</f>
        <v/>
      </c>
      <c r="AQ201" s="4" t="str">
        <f>""</f>
        <v/>
      </c>
      <c r="AR201" s="4" t="str">
        <f t="shared" si="218"/>
        <v>нет</v>
      </c>
      <c r="AS201" s="4" t="str">
        <f>""</f>
        <v/>
      </c>
      <c r="AT201" s="4" t="str">
        <f>""</f>
        <v/>
      </c>
      <c r="AU201" s="4" t="str">
        <f>""</f>
        <v/>
      </c>
      <c r="AV201" s="4" t="str">
        <f t="shared" si="223"/>
        <v>х</v>
      </c>
      <c r="AW201" s="4" t="str">
        <f t="shared" si="223"/>
        <v>х</v>
      </c>
      <c r="AX201" s="4" t="str">
        <f t="shared" si="223"/>
        <v>х</v>
      </c>
      <c r="AY201" s="4" t="str">
        <f t="shared" si="223"/>
        <v>х</v>
      </c>
      <c r="AZ201" s="4" t="str">
        <f t="shared" si="223"/>
        <v>х</v>
      </c>
      <c r="BA201" s="4" t="str">
        <f t="shared" si="223"/>
        <v>х</v>
      </c>
      <c r="BB201" s="4" t="str">
        <f t="shared" si="223"/>
        <v>х</v>
      </c>
      <c r="BC201" s="4" t="str">
        <f t="shared" si="223"/>
        <v>х</v>
      </c>
      <c r="BD201" s="4" t="str">
        <f t="shared" si="223"/>
        <v>х</v>
      </c>
      <c r="BE201" s="4" t="str">
        <f t="shared" si="223"/>
        <v>х</v>
      </c>
      <c r="BF201" s="4" t="str">
        <f t="shared" si="223"/>
        <v>х</v>
      </c>
      <c r="BG201" s="4" t="str">
        <f>"1960"</f>
        <v>1960</v>
      </c>
      <c r="BH201" s="4" t="str">
        <f>"35,00"</f>
        <v>35,00</v>
      </c>
      <c r="BI201" s="4" t="str">
        <f>"2029-2031"</f>
        <v>2029-2031</v>
      </c>
      <c r="BJ201" s="4" t="str">
        <f t="shared" si="219"/>
        <v>нет</v>
      </c>
      <c r="BK201" s="4" t="str">
        <f>""</f>
        <v/>
      </c>
      <c r="BL201" s="4" t="str">
        <f>""</f>
        <v/>
      </c>
      <c r="BM201" s="4" t="str">
        <f>""</f>
        <v/>
      </c>
      <c r="BN201" s="4" t="str">
        <f t="shared" si="227"/>
        <v>нет</v>
      </c>
      <c r="BO201" s="4" t="str">
        <f>""</f>
        <v/>
      </c>
      <c r="BP201" s="4" t="str">
        <f>""</f>
        <v/>
      </c>
      <c r="BQ201" s="4" t="str">
        <f>""</f>
        <v/>
      </c>
      <c r="BR201" s="4" t="str">
        <f>"1960"</f>
        <v>1960</v>
      </c>
      <c r="BS201" s="4" t="str">
        <f>"45,00"</f>
        <v>45,00</v>
      </c>
      <c r="BT201" s="4" t="str">
        <f>"2019-2021"</f>
        <v>2019-2021</v>
      </c>
      <c r="BU201" s="4" t="str">
        <f t="shared" si="153"/>
        <v>нет</v>
      </c>
      <c r="BV201" s="4" t="str">
        <f t="shared" si="220"/>
        <v>x</v>
      </c>
      <c r="BW201" s="4" t="str">
        <f t="shared" si="220"/>
        <v>x</v>
      </c>
      <c r="BX201" s="4" t="str">
        <f t="shared" si="220"/>
        <v>x</v>
      </c>
      <c r="BY201" s="4" t="str">
        <f t="shared" si="192"/>
        <v>нет</v>
      </c>
      <c r="BZ201" s="4" t="str">
        <f t="shared" si="228"/>
        <v>x</v>
      </c>
      <c r="CA201" s="4" t="str">
        <f t="shared" si="228"/>
        <v>x</v>
      </c>
      <c r="CB201" s="4" t="str">
        <f t="shared" si="228"/>
        <v>x</v>
      </c>
      <c r="CC201" s="4" t="str">
        <f>"1960"</f>
        <v>1960</v>
      </c>
      <c r="CD201" s="4" t="str">
        <f>"45,00"</f>
        <v>45,00</v>
      </c>
      <c r="CE201" s="4" t="str">
        <f>"2019-2021"</f>
        <v>2019-2021</v>
      </c>
      <c r="CF201" s="4" t="str">
        <f>"1960"</f>
        <v>1960</v>
      </c>
      <c r="CG201" s="4" t="str">
        <f>"35,00"</f>
        <v>35,00</v>
      </c>
      <c r="CH201" s="4" t="str">
        <f>"2042-2044"</f>
        <v>2042-2044</v>
      </c>
      <c r="CI201" s="4" t="str">
        <f>"34,00"</f>
        <v>34,00</v>
      </c>
      <c r="CJ201" s="4" t="str">
        <f>"2019-2021"</f>
        <v>2019-2021</v>
      </c>
    </row>
    <row r="202" spans="1:88" ht="11.25" customHeight="1">
      <c r="A202" s="45" t="str">
        <f>"24.189"</f>
        <v>24.189</v>
      </c>
      <c r="B202" s="46" t="str">
        <f>"г. Харовск, ул.Пушкина, д.6"</f>
        <v>г. Харовск, ул.Пушкина, д.6</v>
      </c>
      <c r="C202" s="6" t="str">
        <f>"1960"</f>
        <v>1960</v>
      </c>
      <c r="D202" s="4" t="str">
        <f>"1960"</f>
        <v>1960</v>
      </c>
      <c r="E202" s="4" t="str">
        <f>"40,00"</f>
        <v>40,00</v>
      </c>
      <c r="F202" s="4" t="str">
        <f>"2029-2031"</f>
        <v>2029-2031</v>
      </c>
      <c r="G202" s="4" t="str">
        <f t="shared" si="211"/>
        <v>нет</v>
      </c>
      <c r="H202" s="4" t="str">
        <f>""</f>
        <v/>
      </c>
      <c r="I202" s="4" t="str">
        <f>""</f>
        <v/>
      </c>
      <c r="J202" s="4" t="str">
        <f>""</f>
        <v/>
      </c>
      <c r="K202" s="4" t="str">
        <f t="shared" si="151"/>
        <v>нет</v>
      </c>
      <c r="L202" s="4" t="str">
        <f>""</f>
        <v/>
      </c>
      <c r="M202" s="4" t="str">
        <f>""</f>
        <v/>
      </c>
      <c r="N202" s="4" t="str">
        <f>""</f>
        <v/>
      </c>
      <c r="O202" s="7" t="str">
        <f>"1960"</f>
        <v>1960</v>
      </c>
      <c r="P202" s="4" t="str">
        <f>"40,00"</f>
        <v>40,00</v>
      </c>
      <c r="Q202" s="4" t="str">
        <f>"2019-2021"</f>
        <v>2019-2021</v>
      </c>
      <c r="R202" s="4" t="str">
        <f>"нет"</f>
        <v>нет</v>
      </c>
      <c r="S202" s="4" t="str">
        <f>""</f>
        <v/>
      </c>
      <c r="T202" s="4" t="str">
        <f>""</f>
        <v/>
      </c>
      <c r="U202" s="4" t="str">
        <f>"2019-2021"</f>
        <v>2019-2021</v>
      </c>
      <c r="V202" s="4" t="str">
        <f t="shared" si="216"/>
        <v>нет</v>
      </c>
      <c r="W202" s="4" t="str">
        <f>""</f>
        <v/>
      </c>
      <c r="X202" s="4" t="str">
        <f>""</f>
        <v/>
      </c>
      <c r="Y202" s="8" t="str">
        <f>""</f>
        <v/>
      </c>
      <c r="Z202" s="4" t="str">
        <f t="shared" si="221"/>
        <v>х</v>
      </c>
      <c r="AA202" s="4" t="str">
        <f t="shared" si="221"/>
        <v>х</v>
      </c>
      <c r="AB202" s="4" t="str">
        <f t="shared" si="221"/>
        <v>х</v>
      </c>
      <c r="AC202" s="4" t="str">
        <f t="shared" si="221"/>
        <v>х</v>
      </c>
      <c r="AD202" s="4" t="str">
        <f t="shared" si="221"/>
        <v>х</v>
      </c>
      <c r="AE202" s="4" t="str">
        <f t="shared" si="221"/>
        <v>х</v>
      </c>
      <c r="AF202" s="4" t="str">
        <f t="shared" si="221"/>
        <v>х</v>
      </c>
      <c r="AG202" s="4" t="str">
        <f t="shared" si="221"/>
        <v>х</v>
      </c>
      <c r="AH202" s="4" t="str">
        <f t="shared" si="221"/>
        <v>х</v>
      </c>
      <c r="AI202" s="4" t="str">
        <f t="shared" si="221"/>
        <v>х</v>
      </c>
      <c r="AJ202" s="4" t="str">
        <f t="shared" si="221"/>
        <v>х</v>
      </c>
      <c r="AK202" s="7" t="str">
        <f>"1960"</f>
        <v>1960</v>
      </c>
      <c r="AL202" s="4" t="str">
        <f>"40,00"</f>
        <v>40,00</v>
      </c>
      <c r="AM202" s="4" t="str">
        <f>"2029-2031"</f>
        <v>2029-2031</v>
      </c>
      <c r="AN202" s="4" t="str">
        <f t="shared" si="222"/>
        <v>нет</v>
      </c>
      <c r="AO202" s="4" t="str">
        <f>""</f>
        <v/>
      </c>
      <c r="AP202" s="4" t="str">
        <f>""</f>
        <v/>
      </c>
      <c r="AQ202" s="4" t="str">
        <f>""</f>
        <v/>
      </c>
      <c r="AR202" s="4" t="str">
        <f t="shared" si="218"/>
        <v>нет</v>
      </c>
      <c r="AS202" s="4" t="str">
        <f>""</f>
        <v/>
      </c>
      <c r="AT202" s="4" t="str">
        <f>""</f>
        <v/>
      </c>
      <c r="AU202" s="4" t="str">
        <f>""</f>
        <v/>
      </c>
      <c r="AV202" s="4" t="str">
        <f t="shared" si="223"/>
        <v>х</v>
      </c>
      <c r="AW202" s="4" t="str">
        <f t="shared" si="223"/>
        <v>х</v>
      </c>
      <c r="AX202" s="4" t="str">
        <f t="shared" si="223"/>
        <v>х</v>
      </c>
      <c r="AY202" s="4" t="str">
        <f t="shared" si="223"/>
        <v>х</v>
      </c>
      <c r="AZ202" s="4" t="str">
        <f t="shared" si="223"/>
        <v>х</v>
      </c>
      <c r="BA202" s="4" t="str">
        <f t="shared" si="223"/>
        <v>х</v>
      </c>
      <c r="BB202" s="4" t="str">
        <f t="shared" si="223"/>
        <v>х</v>
      </c>
      <c r="BC202" s="4" t="str">
        <f t="shared" si="223"/>
        <v>х</v>
      </c>
      <c r="BD202" s="4" t="str">
        <f t="shared" si="223"/>
        <v>х</v>
      </c>
      <c r="BE202" s="4" t="str">
        <f t="shared" si="223"/>
        <v>х</v>
      </c>
      <c r="BF202" s="4" t="str">
        <f t="shared" si="223"/>
        <v>х</v>
      </c>
      <c r="BG202" s="4" t="str">
        <f>"1960"</f>
        <v>1960</v>
      </c>
      <c r="BH202" s="4" t="str">
        <f>"40,00"</f>
        <v>40,00</v>
      </c>
      <c r="BI202" s="4" t="str">
        <f>"2029-2031"</f>
        <v>2029-2031</v>
      </c>
      <c r="BJ202" s="4" t="str">
        <f t="shared" si="219"/>
        <v>нет</v>
      </c>
      <c r="BK202" s="4" t="str">
        <f>"х"</f>
        <v>х</v>
      </c>
      <c r="BL202" s="4" t="str">
        <f>"х"</f>
        <v>х</v>
      </c>
      <c r="BM202" s="4" t="str">
        <f>"х"</f>
        <v>х</v>
      </c>
      <c r="BN202" s="4" t="str">
        <f t="shared" si="227"/>
        <v>нет</v>
      </c>
      <c r="BO202" s="4" t="str">
        <f>"х"</f>
        <v>х</v>
      </c>
      <c r="BP202" s="4" t="str">
        <f>"х"</f>
        <v>х</v>
      </c>
      <c r="BQ202" s="4" t="str">
        <f>"х"</f>
        <v>х</v>
      </c>
      <c r="BR202" s="4" t="str">
        <f>"1960"</f>
        <v>1960</v>
      </c>
      <c r="BS202" s="4" t="str">
        <f>"65,00"</f>
        <v>65,00</v>
      </c>
      <c r="BT202" s="4" t="str">
        <f>"2019-2021"</f>
        <v>2019-2021</v>
      </c>
      <c r="BU202" s="4" t="str">
        <f t="shared" si="153"/>
        <v>нет</v>
      </c>
      <c r="BV202" s="4" t="str">
        <f t="shared" si="220"/>
        <v>x</v>
      </c>
      <c r="BW202" s="4" t="str">
        <f t="shared" si="220"/>
        <v>x</v>
      </c>
      <c r="BX202" s="4" t="str">
        <f t="shared" si="220"/>
        <v>x</v>
      </c>
      <c r="BY202" s="4" t="str">
        <f t="shared" si="192"/>
        <v>нет</v>
      </c>
      <c r="BZ202" s="4" t="str">
        <f t="shared" si="228"/>
        <v>x</v>
      </c>
      <c r="CA202" s="4" t="str">
        <f t="shared" si="228"/>
        <v>x</v>
      </c>
      <c r="CB202" s="4" t="str">
        <f t="shared" si="228"/>
        <v>x</v>
      </c>
      <c r="CC202" s="4" t="str">
        <f>"1960"</f>
        <v>1960</v>
      </c>
      <c r="CD202" s="4" t="str">
        <f>"60,00"</f>
        <v>60,00</v>
      </c>
      <c r="CE202" s="4" t="str">
        <f>"2019-2021"</f>
        <v>2019-2021</v>
      </c>
      <c r="CF202" s="4" t="str">
        <f>"1960"</f>
        <v>1960</v>
      </c>
      <c r="CG202" s="4" t="str">
        <f>"55,00"</f>
        <v>55,00</v>
      </c>
      <c r="CH202" s="4" t="str">
        <f>"2042-2044"</f>
        <v>2042-2044</v>
      </c>
      <c r="CI202" s="4" t="str">
        <f>"51,00"</f>
        <v>51,00</v>
      </c>
      <c r="CJ202" s="4" t="str">
        <f>"2019-2021"</f>
        <v>2019-2021</v>
      </c>
    </row>
    <row r="203" spans="1:88" ht="11.25" customHeight="1">
      <c r="A203" s="45" t="str">
        <f>"24.190"</f>
        <v>24.190</v>
      </c>
      <c r="B203" s="46" t="str">
        <f>"г. Харовск, ул.Пушкина, д.7"</f>
        <v>г. Харовск, ул.Пушкина, д.7</v>
      </c>
      <c r="C203" s="6" t="str">
        <f>"1970"</f>
        <v>1970</v>
      </c>
      <c r="D203" s="4" t="str">
        <f>"1970"</f>
        <v>1970</v>
      </c>
      <c r="E203" s="4" t="str">
        <f>"50,00"</f>
        <v>50,00</v>
      </c>
      <c r="F203" s="4" t="str">
        <f>"2024-2026"</f>
        <v>2024-2026</v>
      </c>
      <c r="G203" s="4" t="str">
        <f t="shared" si="211"/>
        <v>нет</v>
      </c>
      <c r="H203" s="4" t="str">
        <f>""</f>
        <v/>
      </c>
      <c r="I203" s="4" t="str">
        <f>""</f>
        <v/>
      </c>
      <c r="J203" s="4" t="str">
        <f>""</f>
        <v/>
      </c>
      <c r="K203" s="4" t="str">
        <f t="shared" si="151"/>
        <v>нет</v>
      </c>
      <c r="L203" s="4" t="str">
        <f>""</f>
        <v/>
      </c>
      <c r="M203" s="4" t="str">
        <f>""</f>
        <v/>
      </c>
      <c r="N203" s="4" t="str">
        <f>""</f>
        <v/>
      </c>
      <c r="O203" s="7" t="str">
        <f>"1970"</f>
        <v>1970</v>
      </c>
      <c r="P203" s="4" t="str">
        <f>"50,00"</f>
        <v>50,00</v>
      </c>
      <c r="Q203" s="4" t="str">
        <f>"2024-2026"</f>
        <v>2024-2026</v>
      </c>
      <c r="R203" s="4" t="str">
        <f>"да"</f>
        <v>да</v>
      </c>
      <c r="S203" s="4" t="str">
        <f>"2009"</f>
        <v>2009</v>
      </c>
      <c r="T203" s="4" t="str">
        <f>"75,00"</f>
        <v>75,00</v>
      </c>
      <c r="U203" s="4" t="str">
        <f>"2024-2026"</f>
        <v>2024-2026</v>
      </c>
      <c r="V203" s="4" t="str">
        <f t="shared" si="216"/>
        <v>нет</v>
      </c>
      <c r="W203" s="4" t="str">
        <f>""</f>
        <v/>
      </c>
      <c r="X203" s="4" t="str">
        <f>""</f>
        <v/>
      </c>
      <c r="Y203" s="8" t="str">
        <f>""</f>
        <v/>
      </c>
      <c r="Z203" s="4" t="str">
        <f>"1970"</f>
        <v>1970</v>
      </c>
      <c r="AA203" s="4" t="str">
        <f>"50,00"</f>
        <v>50,00</v>
      </c>
      <c r="AB203" s="4" t="str">
        <f>"2024-2026"</f>
        <v>2024-2026</v>
      </c>
      <c r="AC203" s="4" t="str">
        <f>"нет"</f>
        <v>нет</v>
      </c>
      <c r="AD203" s="4" t="str">
        <f>""</f>
        <v/>
      </c>
      <c r="AE203" s="4" t="str">
        <f>""</f>
        <v/>
      </c>
      <c r="AF203" s="4" t="str">
        <f>""</f>
        <v/>
      </c>
      <c r="AG203" s="4" t="str">
        <f>"нет"</f>
        <v>нет</v>
      </c>
      <c r="AH203" s="4" t="str">
        <f>""</f>
        <v/>
      </c>
      <c r="AI203" s="4" t="str">
        <f>""</f>
        <v/>
      </c>
      <c r="AJ203" s="4" t="str">
        <f>""</f>
        <v/>
      </c>
      <c r="AK203" s="7" t="str">
        <f>"1970"</f>
        <v>1970</v>
      </c>
      <c r="AL203" s="4" t="str">
        <f>"50,00"</f>
        <v>50,00</v>
      </c>
      <c r="AM203" s="4" t="str">
        <f>"2024-2026"</f>
        <v>2024-2026</v>
      </c>
      <c r="AN203" s="4" t="str">
        <f>"да"</f>
        <v>да</v>
      </c>
      <c r="AO203" s="4" t="str">
        <f>"2013"</f>
        <v>2013</v>
      </c>
      <c r="AP203" s="4" t="str">
        <f>"0,00"</f>
        <v>0,00</v>
      </c>
      <c r="AQ203" s="4" t="str">
        <f>"2024-2026"</f>
        <v>2024-2026</v>
      </c>
      <c r="AR203" s="4" t="str">
        <f t="shared" si="218"/>
        <v>нет</v>
      </c>
      <c r="AS203" s="4" t="str">
        <f>""</f>
        <v/>
      </c>
      <c r="AT203" s="4" t="str">
        <f>""</f>
        <v/>
      </c>
      <c r="AU203" s="4" t="str">
        <f>""</f>
        <v/>
      </c>
      <c r="AV203" s="4" t="str">
        <f>"1970"</f>
        <v>1970</v>
      </c>
      <c r="AW203" s="4" t="str">
        <f>"50,00"</f>
        <v>50,00</v>
      </c>
      <c r="AX203" s="4" t="str">
        <f>"2024-2026"</f>
        <v>2024-2026</v>
      </c>
      <c r="AY203" s="4" t="str">
        <f>"нет"</f>
        <v>нет</v>
      </c>
      <c r="AZ203" s="4" t="str">
        <f>""</f>
        <v/>
      </c>
      <c r="BA203" s="4" t="str">
        <f>""</f>
        <v/>
      </c>
      <c r="BB203" s="4" t="str">
        <f>""</f>
        <v/>
      </c>
      <c r="BC203" s="4" t="str">
        <f>"нет"</f>
        <v>нет</v>
      </c>
      <c r="BD203" s="4" t="str">
        <f>""</f>
        <v/>
      </c>
      <c r="BE203" s="4" t="str">
        <f>""</f>
        <v/>
      </c>
      <c r="BF203" s="4" t="str">
        <f>""</f>
        <v/>
      </c>
      <c r="BG203" s="4" t="str">
        <f>"1970"</f>
        <v>1970</v>
      </c>
      <c r="BH203" s="4" t="str">
        <f>"50,00"</f>
        <v>50,00</v>
      </c>
      <c r="BI203" s="4" t="str">
        <f>"2024-2026"</f>
        <v>2024-2026</v>
      </c>
      <c r="BJ203" s="4" t="str">
        <f t="shared" si="219"/>
        <v>нет</v>
      </c>
      <c r="BK203" s="4" t="str">
        <f>""</f>
        <v/>
      </c>
      <c r="BL203" s="4" t="str">
        <f>""</f>
        <v/>
      </c>
      <c r="BM203" s="4" t="str">
        <f>""</f>
        <v/>
      </c>
      <c r="BN203" s="4" t="str">
        <f t="shared" si="227"/>
        <v>нет</v>
      </c>
      <c r="BO203" s="4" t="str">
        <f>""</f>
        <v/>
      </c>
      <c r="BP203" s="4" t="str">
        <f>""</f>
        <v/>
      </c>
      <c r="BQ203" s="4" t="str">
        <f>""</f>
        <v/>
      </c>
      <c r="BR203" s="4" t="str">
        <f>"1970"</f>
        <v>1970</v>
      </c>
      <c r="BS203" s="4" t="str">
        <f>"30,00"</f>
        <v>30,00</v>
      </c>
      <c r="BT203" s="4" t="str">
        <f>"2024-2026"</f>
        <v>2024-2026</v>
      </c>
      <c r="BU203" s="4" t="str">
        <f t="shared" si="153"/>
        <v>нет</v>
      </c>
      <c r="BV203" s="4" t="str">
        <f t="shared" si="220"/>
        <v>x</v>
      </c>
      <c r="BW203" s="4" t="str">
        <f t="shared" si="220"/>
        <v>x</v>
      </c>
      <c r="BX203" s="4" t="str">
        <f t="shared" si="220"/>
        <v>x</v>
      </c>
      <c r="BY203" s="4" t="str">
        <f t="shared" ref="BY203:BY234" si="229">"нет"</f>
        <v>нет</v>
      </c>
      <c r="BZ203" s="4" t="str">
        <f t="shared" si="228"/>
        <v>x</v>
      </c>
      <c r="CA203" s="4" t="str">
        <f t="shared" si="228"/>
        <v>x</v>
      </c>
      <c r="CB203" s="4" t="str">
        <f t="shared" si="228"/>
        <v>x</v>
      </c>
      <c r="CC203" s="4" t="str">
        <f>"1970"</f>
        <v>1970</v>
      </c>
      <c r="CD203" s="4" t="str">
        <f>"40,00"</f>
        <v>40,00</v>
      </c>
      <c r="CE203" s="4" t="str">
        <f>"2024-2026"</f>
        <v>2024-2026</v>
      </c>
      <c r="CF203" s="4" t="str">
        <f>"1970"</f>
        <v>1970</v>
      </c>
      <c r="CG203" s="4" t="str">
        <f>"30,00"</f>
        <v>30,00</v>
      </c>
      <c r="CH203" s="4" t="str">
        <f>"2024-2026"</f>
        <v>2024-2026</v>
      </c>
      <c r="CI203" s="4" t="str">
        <f>"39,00"</f>
        <v>39,00</v>
      </c>
      <c r="CJ203" s="4" t="str">
        <f>"2024-2026"</f>
        <v>2024-2026</v>
      </c>
    </row>
    <row r="204" spans="1:88" ht="11.25" customHeight="1">
      <c r="A204" s="45" t="str">
        <f>"24.191"</f>
        <v>24.191</v>
      </c>
      <c r="B204" s="46" t="str">
        <f>"г. Харовск, ул.Пушкина, д.8"</f>
        <v>г. Харовск, ул.Пушкина, д.8</v>
      </c>
      <c r="C204" s="6" t="str">
        <f>"1961"</f>
        <v>1961</v>
      </c>
      <c r="D204" s="4" t="str">
        <f>"1961"</f>
        <v>1961</v>
      </c>
      <c r="E204" s="4" t="str">
        <f>"40,00"</f>
        <v>40,00</v>
      </c>
      <c r="F204" s="4" t="str">
        <f>"2020-2022"</f>
        <v>2020-2022</v>
      </c>
      <c r="G204" s="4" t="str">
        <f t="shared" si="211"/>
        <v>нет</v>
      </c>
      <c r="H204" s="4" t="str">
        <f>""</f>
        <v/>
      </c>
      <c r="I204" s="4" t="str">
        <f>""</f>
        <v/>
      </c>
      <c r="J204" s="4" t="str">
        <f>""</f>
        <v/>
      </c>
      <c r="K204" s="4" t="str">
        <f t="shared" si="151"/>
        <v>нет</v>
      </c>
      <c r="L204" s="4" t="str">
        <f>""</f>
        <v/>
      </c>
      <c r="M204" s="4" t="str">
        <f>""</f>
        <v/>
      </c>
      <c r="N204" s="4" t="str">
        <f>""</f>
        <v/>
      </c>
      <c r="O204" s="7" t="str">
        <f>"1961"</f>
        <v>1961</v>
      </c>
      <c r="P204" s="4" t="str">
        <f>"40,00"</f>
        <v>40,00</v>
      </c>
      <c r="Q204" s="4" t="str">
        <f>"2020-2022"</f>
        <v>2020-2022</v>
      </c>
      <c r="R204" s="4" t="str">
        <f>"нет"</f>
        <v>нет</v>
      </c>
      <c r="S204" s="4" t="str">
        <f>""</f>
        <v/>
      </c>
      <c r="T204" s="4" t="str">
        <f>""</f>
        <v/>
      </c>
      <c r="U204" s="4" t="str">
        <f>"2020-2022"</f>
        <v>2020-2022</v>
      </c>
      <c r="V204" s="4" t="str">
        <f t="shared" si="216"/>
        <v>нет</v>
      </c>
      <c r="W204" s="4" t="str">
        <f>""</f>
        <v/>
      </c>
      <c r="X204" s="4" t="str">
        <f>""</f>
        <v/>
      </c>
      <c r="Y204" s="8" t="str">
        <f>""</f>
        <v/>
      </c>
      <c r="Z204" s="4" t="str">
        <f t="shared" ref="Z204:AJ213" si="230">"х"</f>
        <v>х</v>
      </c>
      <c r="AA204" s="4" t="str">
        <f t="shared" si="230"/>
        <v>х</v>
      </c>
      <c r="AB204" s="4" t="str">
        <f t="shared" si="230"/>
        <v>х</v>
      </c>
      <c r="AC204" s="4" t="str">
        <f t="shared" si="230"/>
        <v>х</v>
      </c>
      <c r="AD204" s="4" t="str">
        <f t="shared" si="230"/>
        <v>х</v>
      </c>
      <c r="AE204" s="4" t="str">
        <f t="shared" si="230"/>
        <v>х</v>
      </c>
      <c r="AF204" s="4" t="str">
        <f t="shared" si="230"/>
        <v>х</v>
      </c>
      <c r="AG204" s="4" t="str">
        <f t="shared" si="230"/>
        <v>х</v>
      </c>
      <c r="AH204" s="4" t="str">
        <f t="shared" si="230"/>
        <v>х</v>
      </c>
      <c r="AI204" s="4" t="str">
        <f t="shared" si="230"/>
        <v>х</v>
      </c>
      <c r="AJ204" s="4" t="str">
        <f t="shared" si="230"/>
        <v>х</v>
      </c>
      <c r="AK204" s="7" t="str">
        <f>"1961"</f>
        <v>1961</v>
      </c>
      <c r="AL204" s="4" t="str">
        <f>"40,00"</f>
        <v>40,00</v>
      </c>
      <c r="AM204" s="4" t="str">
        <f>"2020-2022"</f>
        <v>2020-2022</v>
      </c>
      <c r="AN204" s="4" t="str">
        <f>"нет"</f>
        <v>нет</v>
      </c>
      <c r="AO204" s="4" t="str">
        <f>""</f>
        <v/>
      </c>
      <c r="AP204" s="4" t="str">
        <f>""</f>
        <v/>
      </c>
      <c r="AQ204" s="4" t="str">
        <f>""</f>
        <v/>
      </c>
      <c r="AR204" s="4" t="str">
        <f t="shared" si="218"/>
        <v>нет</v>
      </c>
      <c r="AS204" s="4" t="str">
        <f>""</f>
        <v/>
      </c>
      <c r="AT204" s="4" t="str">
        <f>""</f>
        <v/>
      </c>
      <c r="AU204" s="4" t="str">
        <f>""</f>
        <v/>
      </c>
      <c r="AV204" s="4" t="str">
        <f t="shared" ref="AV204:BF208" si="231">"х"</f>
        <v>х</v>
      </c>
      <c r="AW204" s="4" t="str">
        <f t="shared" si="231"/>
        <v>х</v>
      </c>
      <c r="AX204" s="4" t="str">
        <f t="shared" si="231"/>
        <v>х</v>
      </c>
      <c r="AY204" s="4" t="str">
        <f t="shared" si="231"/>
        <v>х</v>
      </c>
      <c r="AZ204" s="4" t="str">
        <f t="shared" si="231"/>
        <v>х</v>
      </c>
      <c r="BA204" s="4" t="str">
        <f t="shared" si="231"/>
        <v>х</v>
      </c>
      <c r="BB204" s="4" t="str">
        <f t="shared" si="231"/>
        <v>х</v>
      </c>
      <c r="BC204" s="4" t="str">
        <f t="shared" si="231"/>
        <v>х</v>
      </c>
      <c r="BD204" s="4" t="str">
        <f t="shared" si="231"/>
        <v>х</v>
      </c>
      <c r="BE204" s="4" t="str">
        <f t="shared" si="231"/>
        <v>х</v>
      </c>
      <c r="BF204" s="4" t="str">
        <f t="shared" si="231"/>
        <v>х</v>
      </c>
      <c r="BG204" s="4" t="str">
        <f>"1961"</f>
        <v>1961</v>
      </c>
      <c r="BH204" s="4" t="str">
        <f>"40,00"</f>
        <v>40,00</v>
      </c>
      <c r="BI204" s="4" t="str">
        <f>"2030-2032"</f>
        <v>2030-2032</v>
      </c>
      <c r="BJ204" s="4" t="str">
        <f t="shared" si="219"/>
        <v>нет</v>
      </c>
      <c r="BK204" s="4" t="str">
        <f>"х"</f>
        <v>х</v>
      </c>
      <c r="BL204" s="4" t="str">
        <f>"х"</f>
        <v>х</v>
      </c>
      <c r="BM204" s="4" t="str">
        <f>"х"</f>
        <v>х</v>
      </c>
      <c r="BN204" s="4" t="str">
        <f t="shared" si="227"/>
        <v>нет</v>
      </c>
      <c r="BO204" s="4" t="str">
        <f>"х"</f>
        <v>х</v>
      </c>
      <c r="BP204" s="4" t="str">
        <f>"х"</f>
        <v>х</v>
      </c>
      <c r="BQ204" s="4" t="str">
        <f>"х"</f>
        <v>х</v>
      </c>
      <c r="BR204" s="4" t="str">
        <f>"1961"</f>
        <v>1961</v>
      </c>
      <c r="BS204" s="4" t="str">
        <f>"65,00"</f>
        <v>65,00</v>
      </c>
      <c r="BT204" s="4" t="str">
        <f>"2020-2022"</f>
        <v>2020-2022</v>
      </c>
      <c r="BU204" s="4" t="str">
        <f t="shared" si="153"/>
        <v>нет</v>
      </c>
      <c r="BV204" s="4" t="str">
        <f t="shared" si="220"/>
        <v>x</v>
      </c>
      <c r="BW204" s="4" t="str">
        <f t="shared" si="220"/>
        <v>x</v>
      </c>
      <c r="BX204" s="4" t="str">
        <f t="shared" si="220"/>
        <v>x</v>
      </c>
      <c r="BY204" s="4" t="str">
        <f t="shared" si="229"/>
        <v>нет</v>
      </c>
      <c r="BZ204" s="4" t="str">
        <f t="shared" si="228"/>
        <v>x</v>
      </c>
      <c r="CA204" s="4" t="str">
        <f t="shared" si="228"/>
        <v>x</v>
      </c>
      <c r="CB204" s="4" t="str">
        <f t="shared" si="228"/>
        <v>x</v>
      </c>
      <c r="CC204" s="4" t="str">
        <f>"1961"</f>
        <v>1961</v>
      </c>
      <c r="CD204" s="4" t="str">
        <f>"65,00"</f>
        <v>65,00</v>
      </c>
      <c r="CE204" s="4" t="str">
        <f>"2020-2022"</f>
        <v>2020-2022</v>
      </c>
      <c r="CF204" s="4" t="str">
        <f>"1961"</f>
        <v>1961</v>
      </c>
      <c r="CG204" s="4" t="str">
        <f>"55,00"</f>
        <v>55,00</v>
      </c>
      <c r="CH204" s="4" t="str">
        <f>"2040-2042"</f>
        <v>2040-2042</v>
      </c>
      <c r="CI204" s="4" t="str">
        <f>"52,00"</f>
        <v>52,00</v>
      </c>
      <c r="CJ204" s="4" t="str">
        <f>"2020-2022"</f>
        <v>2020-2022</v>
      </c>
    </row>
    <row r="205" spans="1:88" ht="11.25" customHeight="1">
      <c r="A205" s="45" t="str">
        <f>"24.192"</f>
        <v>24.192</v>
      </c>
      <c r="B205" s="46" t="str">
        <f>"г. Харовск, ул.Свободы, д.10"</f>
        <v>г. Харовск, ул.Свободы, д.10</v>
      </c>
      <c r="C205" s="6" t="str">
        <f>"1959"</f>
        <v>1959</v>
      </c>
      <c r="D205" s="4" t="str">
        <f>"1959"</f>
        <v>1959</v>
      </c>
      <c r="E205" s="4" t="str">
        <f>"40,00"</f>
        <v>40,00</v>
      </c>
      <c r="F205" s="4" t="str">
        <f>"2018-2020"</f>
        <v>2018-2020</v>
      </c>
      <c r="G205" s="4" t="str">
        <f t="shared" si="211"/>
        <v>нет</v>
      </c>
      <c r="H205" s="4" t="str">
        <f>""</f>
        <v/>
      </c>
      <c r="I205" s="4" t="str">
        <f>""</f>
        <v/>
      </c>
      <c r="J205" s="4" t="str">
        <f>""</f>
        <v/>
      </c>
      <c r="K205" s="4" t="str">
        <f t="shared" si="151"/>
        <v>нет</v>
      </c>
      <c r="L205" s="4" t="str">
        <f>""</f>
        <v/>
      </c>
      <c r="M205" s="4" t="str">
        <f>""</f>
        <v/>
      </c>
      <c r="N205" s="4" t="str">
        <f>""</f>
        <v/>
      </c>
      <c r="O205" s="7" t="str">
        <f t="shared" ref="O205:P207" si="232">"х"</f>
        <v>х</v>
      </c>
      <c r="P205" s="4" t="str">
        <f t="shared" si="232"/>
        <v>х</v>
      </c>
      <c r="Q205" s="4" t="str">
        <f>"2018-2020"</f>
        <v>2018-2020</v>
      </c>
      <c r="R205" s="4" t="str">
        <f t="shared" ref="R205:T207" si="233">"х"</f>
        <v>х</v>
      </c>
      <c r="S205" s="4" t="str">
        <f t="shared" si="233"/>
        <v>х</v>
      </c>
      <c r="T205" s="4" t="str">
        <f t="shared" si="233"/>
        <v>х</v>
      </c>
      <c r="U205" s="4" t="str">
        <f>"2018-2020"</f>
        <v>2018-2020</v>
      </c>
      <c r="V205" s="4" t="str">
        <f t="shared" ref="V205:Y207" si="234">"х"</f>
        <v>х</v>
      </c>
      <c r="W205" s="4" t="str">
        <f t="shared" si="234"/>
        <v>х</v>
      </c>
      <c r="X205" s="4" t="str">
        <f t="shared" si="234"/>
        <v>х</v>
      </c>
      <c r="Y205" s="8" t="str">
        <f t="shared" si="234"/>
        <v>х</v>
      </c>
      <c r="Z205" s="4" t="str">
        <f t="shared" si="230"/>
        <v>х</v>
      </c>
      <c r="AA205" s="4" t="str">
        <f t="shared" si="230"/>
        <v>х</v>
      </c>
      <c r="AB205" s="4" t="str">
        <f t="shared" si="230"/>
        <v>х</v>
      </c>
      <c r="AC205" s="4" t="str">
        <f t="shared" si="230"/>
        <v>х</v>
      </c>
      <c r="AD205" s="4" t="str">
        <f t="shared" si="230"/>
        <v>х</v>
      </c>
      <c r="AE205" s="4" t="str">
        <f t="shared" si="230"/>
        <v>х</v>
      </c>
      <c r="AF205" s="4" t="str">
        <f t="shared" si="230"/>
        <v>х</v>
      </c>
      <c r="AG205" s="4" t="str">
        <f t="shared" si="230"/>
        <v>х</v>
      </c>
      <c r="AH205" s="4" t="str">
        <f t="shared" si="230"/>
        <v>х</v>
      </c>
      <c r="AI205" s="4" t="str">
        <f t="shared" si="230"/>
        <v>х</v>
      </c>
      <c r="AJ205" s="4" t="str">
        <f t="shared" si="230"/>
        <v>х</v>
      </c>
      <c r="AK205" s="7" t="str">
        <f>"1959"</f>
        <v>1959</v>
      </c>
      <c r="AL205" s="4" t="str">
        <f>"50,00"</f>
        <v>50,00</v>
      </c>
      <c r="AM205" s="4" t="str">
        <f>"2035-2037"</f>
        <v>2035-2037</v>
      </c>
      <c r="AN205" s="4" t="str">
        <f>"нет"</f>
        <v>нет</v>
      </c>
      <c r="AO205" s="4" t="str">
        <f>""</f>
        <v/>
      </c>
      <c r="AP205" s="4" t="str">
        <f>""</f>
        <v/>
      </c>
      <c r="AQ205" s="4" t="str">
        <f>""</f>
        <v/>
      </c>
      <c r="AR205" s="4" t="str">
        <f t="shared" si="218"/>
        <v>нет</v>
      </c>
      <c r="AS205" s="4" t="str">
        <f>""</f>
        <v/>
      </c>
      <c r="AT205" s="4" t="str">
        <f>""</f>
        <v/>
      </c>
      <c r="AU205" s="4" t="str">
        <f>""</f>
        <v/>
      </c>
      <c r="AV205" s="4" t="str">
        <f t="shared" si="231"/>
        <v>х</v>
      </c>
      <c r="AW205" s="4" t="str">
        <f t="shared" si="231"/>
        <v>х</v>
      </c>
      <c r="AX205" s="4" t="str">
        <f t="shared" si="231"/>
        <v>х</v>
      </c>
      <c r="AY205" s="4" t="str">
        <f t="shared" si="231"/>
        <v>х</v>
      </c>
      <c r="AZ205" s="4" t="str">
        <f t="shared" si="231"/>
        <v>х</v>
      </c>
      <c r="BA205" s="4" t="str">
        <f t="shared" si="231"/>
        <v>х</v>
      </c>
      <c r="BB205" s="4" t="str">
        <f t="shared" si="231"/>
        <v>х</v>
      </c>
      <c r="BC205" s="4" t="str">
        <f t="shared" si="231"/>
        <v>х</v>
      </c>
      <c r="BD205" s="4" t="str">
        <f t="shared" si="231"/>
        <v>х</v>
      </c>
      <c r="BE205" s="4" t="str">
        <f t="shared" si="231"/>
        <v>х</v>
      </c>
      <c r="BF205" s="4" t="str">
        <f t="shared" si="231"/>
        <v>х</v>
      </c>
      <c r="BG205" s="4" t="str">
        <f>"1959"</f>
        <v>1959</v>
      </c>
      <c r="BH205" s="4" t="str">
        <f>"50,00"</f>
        <v>50,00</v>
      </c>
      <c r="BI205" s="4" t="str">
        <f>"2035-2037"</f>
        <v>2035-2037</v>
      </c>
      <c r="BJ205" s="4" t="str">
        <f t="shared" si="219"/>
        <v>нет</v>
      </c>
      <c r="BK205" s="4" t="str">
        <f>""</f>
        <v/>
      </c>
      <c r="BL205" s="4" t="str">
        <f>""</f>
        <v/>
      </c>
      <c r="BM205" s="4" t="str">
        <f>""</f>
        <v/>
      </c>
      <c r="BN205" s="4" t="str">
        <f t="shared" si="227"/>
        <v>нет</v>
      </c>
      <c r="BO205" s="4" t="str">
        <f>""</f>
        <v/>
      </c>
      <c r="BP205" s="4" t="str">
        <f>""</f>
        <v/>
      </c>
      <c r="BQ205" s="4" t="str">
        <f>""</f>
        <v/>
      </c>
      <c r="BR205" s="4" t="str">
        <f>"1959"</f>
        <v>1959</v>
      </c>
      <c r="BS205" s="4" t="str">
        <f>"55,00"</f>
        <v>55,00</v>
      </c>
      <c r="BT205" s="4" t="str">
        <f>"2018-2020"</f>
        <v>2018-2020</v>
      </c>
      <c r="BU205" s="4" t="str">
        <f t="shared" si="153"/>
        <v>нет</v>
      </c>
      <c r="BV205" s="4" t="str">
        <f t="shared" si="220"/>
        <v>x</v>
      </c>
      <c r="BW205" s="4" t="str">
        <f t="shared" si="220"/>
        <v>x</v>
      </c>
      <c r="BX205" s="4" t="str">
        <f t="shared" si="220"/>
        <v>x</v>
      </c>
      <c r="BY205" s="4" t="str">
        <f t="shared" si="229"/>
        <v>нет</v>
      </c>
      <c r="BZ205" s="4" t="str">
        <f t="shared" si="228"/>
        <v>x</v>
      </c>
      <c r="CA205" s="4" t="str">
        <f t="shared" si="228"/>
        <v>x</v>
      </c>
      <c r="CB205" s="4" t="str">
        <f t="shared" si="228"/>
        <v>x</v>
      </c>
      <c r="CC205" s="4" t="str">
        <f>"1959"</f>
        <v>1959</v>
      </c>
      <c r="CD205" s="4" t="str">
        <f>"50,00"</f>
        <v>50,00</v>
      </c>
      <c r="CE205" s="4" t="str">
        <f>"2035-2037"</f>
        <v>2035-2037</v>
      </c>
      <c r="CF205" s="4" t="str">
        <f>"1959"</f>
        <v>1959</v>
      </c>
      <c r="CG205" s="4" t="str">
        <f>"40,00"</f>
        <v>40,00</v>
      </c>
      <c r="CH205" s="4" t="str">
        <f>"2035-2037"</f>
        <v>2035-2037</v>
      </c>
      <c r="CI205" s="4" t="str">
        <f>"50,00"</f>
        <v>50,00</v>
      </c>
      <c r="CJ205" s="4" t="str">
        <f>"2018-2020"</f>
        <v>2018-2020</v>
      </c>
    </row>
    <row r="206" spans="1:88" ht="11.25" customHeight="1">
      <c r="A206" s="45" t="str">
        <f>"24.193"</f>
        <v>24.193</v>
      </c>
      <c r="B206" s="46" t="str">
        <f>"г. Харовск, ул.Свободы, д.15"</f>
        <v>г. Харовск, ул.Свободы, д.15</v>
      </c>
      <c r="C206" s="6" t="str">
        <f>"1967"</f>
        <v>1967</v>
      </c>
      <c r="D206" s="4" t="str">
        <f>"1967"</f>
        <v>1967</v>
      </c>
      <c r="E206" s="4" t="str">
        <f>"60,00"</f>
        <v>60,00</v>
      </c>
      <c r="F206" s="4" t="str">
        <f>"2023-2025"</f>
        <v>2023-2025</v>
      </c>
      <c r="G206" s="4" t="str">
        <f t="shared" si="211"/>
        <v>нет</v>
      </c>
      <c r="H206" s="4" t="str">
        <f>""</f>
        <v/>
      </c>
      <c r="I206" s="4" t="str">
        <f>""</f>
        <v/>
      </c>
      <c r="J206" s="4" t="str">
        <f>""</f>
        <v/>
      </c>
      <c r="K206" s="4" t="str">
        <f t="shared" ref="K206:K269" si="235">"нет"</f>
        <v>нет</v>
      </c>
      <c r="L206" s="4" t="str">
        <f>""</f>
        <v/>
      </c>
      <c r="M206" s="4" t="str">
        <f>""</f>
        <v/>
      </c>
      <c r="N206" s="4" t="str">
        <f>""</f>
        <v/>
      </c>
      <c r="O206" s="7" t="str">
        <f t="shared" si="232"/>
        <v>х</v>
      </c>
      <c r="P206" s="4" t="str">
        <f t="shared" si="232"/>
        <v>х</v>
      </c>
      <c r="Q206" s="4" t="str">
        <f>"2023-2025"</f>
        <v>2023-2025</v>
      </c>
      <c r="R206" s="4" t="str">
        <f t="shared" si="233"/>
        <v>х</v>
      </c>
      <c r="S206" s="4" t="str">
        <f t="shared" si="233"/>
        <v>х</v>
      </c>
      <c r="T206" s="4" t="str">
        <f t="shared" si="233"/>
        <v>х</v>
      </c>
      <c r="U206" s="4" t="str">
        <f>"2023-2025"</f>
        <v>2023-2025</v>
      </c>
      <c r="V206" s="4" t="str">
        <f t="shared" si="234"/>
        <v>х</v>
      </c>
      <c r="W206" s="4" t="str">
        <f t="shared" si="234"/>
        <v>х</v>
      </c>
      <c r="X206" s="4" t="str">
        <f t="shared" si="234"/>
        <v>х</v>
      </c>
      <c r="Y206" s="8" t="str">
        <f t="shared" si="234"/>
        <v>х</v>
      </c>
      <c r="Z206" s="4" t="str">
        <f t="shared" si="230"/>
        <v>х</v>
      </c>
      <c r="AA206" s="4" t="str">
        <f t="shared" si="230"/>
        <v>х</v>
      </c>
      <c r="AB206" s="4" t="str">
        <f t="shared" si="230"/>
        <v>х</v>
      </c>
      <c r="AC206" s="4" t="str">
        <f t="shared" si="230"/>
        <v>х</v>
      </c>
      <c r="AD206" s="4" t="str">
        <f t="shared" si="230"/>
        <v>х</v>
      </c>
      <c r="AE206" s="4" t="str">
        <f t="shared" si="230"/>
        <v>х</v>
      </c>
      <c r="AF206" s="4" t="str">
        <f t="shared" si="230"/>
        <v>х</v>
      </c>
      <c r="AG206" s="4" t="str">
        <f t="shared" si="230"/>
        <v>х</v>
      </c>
      <c r="AH206" s="4" t="str">
        <f t="shared" si="230"/>
        <v>х</v>
      </c>
      <c r="AI206" s="4" t="str">
        <f t="shared" si="230"/>
        <v>х</v>
      </c>
      <c r="AJ206" s="4" t="str">
        <f t="shared" si="230"/>
        <v>х</v>
      </c>
      <c r="AK206" s="7" t="str">
        <f>"х"</f>
        <v>х</v>
      </c>
      <c r="AL206" s="4" t="str">
        <f>"х"</f>
        <v>х</v>
      </c>
      <c r="AM206" s="4" t="str">
        <f>"2023-2025"</f>
        <v>2023-2025</v>
      </c>
      <c r="AN206" s="4" t="str">
        <f>"х"</f>
        <v>х</v>
      </c>
      <c r="AO206" s="4" t="str">
        <f>"х"</f>
        <v>х</v>
      </c>
      <c r="AP206" s="4" t="str">
        <f>"х"</f>
        <v>х</v>
      </c>
      <c r="AQ206" s="4" t="str">
        <f>"2023-2025"</f>
        <v>2023-2025</v>
      </c>
      <c r="AR206" s="4" t="str">
        <f>"х"</f>
        <v>х</v>
      </c>
      <c r="AS206" s="4" t="str">
        <f>"х"</f>
        <v>х</v>
      </c>
      <c r="AT206" s="4" t="str">
        <f>"х"</f>
        <v>х</v>
      </c>
      <c r="AU206" s="4" t="str">
        <f>"х"</f>
        <v>х</v>
      </c>
      <c r="AV206" s="4" t="str">
        <f t="shared" si="231"/>
        <v>х</v>
      </c>
      <c r="AW206" s="4" t="str">
        <f t="shared" si="231"/>
        <v>х</v>
      </c>
      <c r="AX206" s="4" t="str">
        <f t="shared" si="231"/>
        <v>х</v>
      </c>
      <c r="AY206" s="4" t="str">
        <f t="shared" si="231"/>
        <v>х</v>
      </c>
      <c r="AZ206" s="4" t="str">
        <f t="shared" si="231"/>
        <v>х</v>
      </c>
      <c r="BA206" s="4" t="str">
        <f t="shared" si="231"/>
        <v>х</v>
      </c>
      <c r="BB206" s="4" t="str">
        <f t="shared" si="231"/>
        <v>х</v>
      </c>
      <c r="BC206" s="4" t="str">
        <f t="shared" si="231"/>
        <v>х</v>
      </c>
      <c r="BD206" s="4" t="str">
        <f t="shared" si="231"/>
        <v>х</v>
      </c>
      <c r="BE206" s="4" t="str">
        <f t="shared" si="231"/>
        <v>х</v>
      </c>
      <c r="BF206" s="4" t="str">
        <f t="shared" si="231"/>
        <v>х</v>
      </c>
      <c r="BG206" s="4" t="str">
        <f>"х"</f>
        <v>х</v>
      </c>
      <c r="BH206" s="4" t="str">
        <f>"х"</f>
        <v>х</v>
      </c>
      <c r="BI206" s="4" t="str">
        <f>"2023-2025"</f>
        <v>2023-2025</v>
      </c>
      <c r="BJ206" s="4" t="str">
        <f t="shared" ref="BJ206:BQ206" si="236">"х"</f>
        <v>х</v>
      </c>
      <c r="BK206" s="4" t="str">
        <f t="shared" si="236"/>
        <v>х</v>
      </c>
      <c r="BL206" s="4" t="str">
        <f t="shared" si="236"/>
        <v>х</v>
      </c>
      <c r="BM206" s="4" t="str">
        <f t="shared" si="236"/>
        <v>х</v>
      </c>
      <c r="BN206" s="4" t="str">
        <f t="shared" si="236"/>
        <v>х</v>
      </c>
      <c r="BO206" s="4" t="str">
        <f t="shared" si="236"/>
        <v>х</v>
      </c>
      <c r="BP206" s="4" t="str">
        <f t="shared" si="236"/>
        <v>х</v>
      </c>
      <c r="BQ206" s="4" t="str">
        <f t="shared" si="236"/>
        <v>х</v>
      </c>
      <c r="BR206" s="4" t="str">
        <f>"1967"</f>
        <v>1967</v>
      </c>
      <c r="BS206" s="4" t="str">
        <f>"40,00"</f>
        <v>40,00</v>
      </c>
      <c r="BT206" s="4" t="str">
        <f>"2023-2025"</f>
        <v>2023-2025</v>
      </c>
      <c r="BU206" s="4" t="str">
        <f t="shared" ref="BU206:BU269" si="237">"нет"</f>
        <v>нет</v>
      </c>
      <c r="BV206" s="4" t="str">
        <f t="shared" si="220"/>
        <v>x</v>
      </c>
      <c r="BW206" s="4" t="str">
        <f t="shared" si="220"/>
        <v>x</v>
      </c>
      <c r="BX206" s="4" t="str">
        <f t="shared" si="220"/>
        <v>x</v>
      </c>
      <c r="BY206" s="4" t="str">
        <f t="shared" si="229"/>
        <v>нет</v>
      </c>
      <c r="BZ206" s="4" t="str">
        <f t="shared" si="228"/>
        <v>x</v>
      </c>
      <c r="CA206" s="4" t="str">
        <f t="shared" si="228"/>
        <v>x</v>
      </c>
      <c r="CB206" s="4" t="str">
        <f t="shared" si="228"/>
        <v>x</v>
      </c>
      <c r="CC206" s="4" t="str">
        <f>"1967"</f>
        <v>1967</v>
      </c>
      <c r="CD206" s="4" t="str">
        <f>"40,00"</f>
        <v>40,00</v>
      </c>
      <c r="CE206" s="4" t="str">
        <f>"2023-2025"</f>
        <v>2023-2025</v>
      </c>
      <c r="CF206" s="4" t="str">
        <f>"1967"</f>
        <v>1967</v>
      </c>
      <c r="CG206" s="4" t="str">
        <f>"35,00"</f>
        <v>35,00</v>
      </c>
      <c r="CH206" s="4" t="str">
        <f>"2043-2045"</f>
        <v>2043-2045</v>
      </c>
      <c r="CI206" s="4" t="str">
        <f>"47,00"</f>
        <v>47,00</v>
      </c>
      <c r="CJ206" s="4" t="str">
        <f>"2023-2025"</f>
        <v>2023-2025</v>
      </c>
    </row>
    <row r="207" spans="1:88" ht="11.25" customHeight="1">
      <c r="A207" s="45" t="str">
        <f>"24.194"</f>
        <v>24.194</v>
      </c>
      <c r="B207" s="46" t="str">
        <f>"г. Харовск, ул.Свободы, д.16"</f>
        <v>г. Харовск, ул.Свободы, д.16</v>
      </c>
      <c r="C207" s="6" t="str">
        <f>"1962"</f>
        <v>1962</v>
      </c>
      <c r="D207" s="4" t="str">
        <f>"1962"</f>
        <v>1962</v>
      </c>
      <c r="E207" s="4" t="str">
        <f>"20,00"</f>
        <v>20,00</v>
      </c>
      <c r="F207" s="4" t="str">
        <f>"2020-2022"</f>
        <v>2020-2022</v>
      </c>
      <c r="G207" s="4" t="str">
        <f t="shared" si="211"/>
        <v>нет</v>
      </c>
      <c r="H207" s="4" t="str">
        <f>""</f>
        <v/>
      </c>
      <c r="I207" s="4" t="str">
        <f>""</f>
        <v/>
      </c>
      <c r="J207" s="4" t="str">
        <f>""</f>
        <v/>
      </c>
      <c r="K207" s="4" t="str">
        <f t="shared" si="235"/>
        <v>нет</v>
      </c>
      <c r="L207" s="4" t="str">
        <f>""</f>
        <v/>
      </c>
      <c r="M207" s="4" t="str">
        <f>""</f>
        <v/>
      </c>
      <c r="N207" s="4" t="str">
        <f>""</f>
        <v/>
      </c>
      <c r="O207" s="7" t="str">
        <f t="shared" si="232"/>
        <v>х</v>
      </c>
      <c r="P207" s="4" t="str">
        <f t="shared" si="232"/>
        <v>х</v>
      </c>
      <c r="Q207" s="4" t="str">
        <f>"2020-2022"</f>
        <v>2020-2022</v>
      </c>
      <c r="R207" s="4" t="str">
        <f t="shared" si="233"/>
        <v>х</v>
      </c>
      <c r="S207" s="4" t="str">
        <f t="shared" si="233"/>
        <v>х</v>
      </c>
      <c r="T207" s="4" t="str">
        <f t="shared" si="233"/>
        <v>х</v>
      </c>
      <c r="U207" s="4" t="str">
        <f>"2020-2022"</f>
        <v>2020-2022</v>
      </c>
      <c r="V207" s="4" t="str">
        <f t="shared" si="234"/>
        <v>х</v>
      </c>
      <c r="W207" s="4" t="str">
        <f t="shared" si="234"/>
        <v>х</v>
      </c>
      <c r="X207" s="4" t="str">
        <f t="shared" si="234"/>
        <v>х</v>
      </c>
      <c r="Y207" s="8" t="str">
        <f t="shared" si="234"/>
        <v>х</v>
      </c>
      <c r="Z207" s="4" t="str">
        <f t="shared" si="230"/>
        <v>х</v>
      </c>
      <c r="AA207" s="4" t="str">
        <f t="shared" si="230"/>
        <v>х</v>
      </c>
      <c r="AB207" s="4" t="str">
        <f t="shared" si="230"/>
        <v>х</v>
      </c>
      <c r="AC207" s="4" t="str">
        <f t="shared" si="230"/>
        <v>х</v>
      </c>
      <c r="AD207" s="4" t="str">
        <f t="shared" si="230"/>
        <v>х</v>
      </c>
      <c r="AE207" s="4" t="str">
        <f t="shared" si="230"/>
        <v>х</v>
      </c>
      <c r="AF207" s="4" t="str">
        <f t="shared" si="230"/>
        <v>х</v>
      </c>
      <c r="AG207" s="4" t="str">
        <f t="shared" si="230"/>
        <v>х</v>
      </c>
      <c r="AH207" s="4" t="str">
        <f t="shared" si="230"/>
        <v>х</v>
      </c>
      <c r="AI207" s="4" t="str">
        <f t="shared" si="230"/>
        <v>х</v>
      </c>
      <c r="AJ207" s="4" t="str">
        <f t="shared" si="230"/>
        <v>х</v>
      </c>
      <c r="AK207" s="7" t="str">
        <f>"1962"</f>
        <v>1962</v>
      </c>
      <c r="AL207" s="4" t="str">
        <f>"20,00"</f>
        <v>20,00</v>
      </c>
      <c r="AM207" s="4" t="str">
        <f>"2020-2022"</f>
        <v>2020-2022</v>
      </c>
      <c r="AN207" s="4" t="str">
        <f>"нет"</f>
        <v>нет</v>
      </c>
      <c r="AO207" s="4" t="str">
        <f>""</f>
        <v/>
      </c>
      <c r="AP207" s="4" t="str">
        <f>""</f>
        <v/>
      </c>
      <c r="AQ207" s="4" t="str">
        <f>""</f>
        <v/>
      </c>
      <c r="AR207" s="4" t="str">
        <f>"нет"</f>
        <v>нет</v>
      </c>
      <c r="AS207" s="4" t="str">
        <f>""</f>
        <v/>
      </c>
      <c r="AT207" s="4" t="str">
        <f>""</f>
        <v/>
      </c>
      <c r="AU207" s="4" t="str">
        <f>""</f>
        <v/>
      </c>
      <c r="AV207" s="4" t="str">
        <f t="shared" si="231"/>
        <v>х</v>
      </c>
      <c r="AW207" s="4" t="str">
        <f t="shared" si="231"/>
        <v>х</v>
      </c>
      <c r="AX207" s="4" t="str">
        <f t="shared" si="231"/>
        <v>х</v>
      </c>
      <c r="AY207" s="4" t="str">
        <f t="shared" si="231"/>
        <v>х</v>
      </c>
      <c r="AZ207" s="4" t="str">
        <f t="shared" si="231"/>
        <v>х</v>
      </c>
      <c r="BA207" s="4" t="str">
        <f t="shared" si="231"/>
        <v>х</v>
      </c>
      <c r="BB207" s="4" t="str">
        <f t="shared" si="231"/>
        <v>х</v>
      </c>
      <c r="BC207" s="4" t="str">
        <f t="shared" si="231"/>
        <v>х</v>
      </c>
      <c r="BD207" s="4" t="str">
        <f t="shared" si="231"/>
        <v>х</v>
      </c>
      <c r="BE207" s="4" t="str">
        <f t="shared" si="231"/>
        <v>х</v>
      </c>
      <c r="BF207" s="4" t="str">
        <f t="shared" si="231"/>
        <v>х</v>
      </c>
      <c r="BG207" s="4" t="str">
        <f>"1962"</f>
        <v>1962</v>
      </c>
      <c r="BH207" s="4" t="str">
        <f>"20,00"</f>
        <v>20,00</v>
      </c>
      <c r="BI207" s="4" t="str">
        <f>"2020-2022"</f>
        <v>2020-2022</v>
      </c>
      <c r="BJ207" s="4" t="str">
        <f>"нет"</f>
        <v>нет</v>
      </c>
      <c r="BK207" s="4" t="str">
        <f>""</f>
        <v/>
      </c>
      <c r="BL207" s="4" t="str">
        <f>""</f>
        <v/>
      </c>
      <c r="BM207" s="4" t="str">
        <f>""</f>
        <v/>
      </c>
      <c r="BN207" s="4" t="str">
        <f>"нет"</f>
        <v>нет</v>
      </c>
      <c r="BO207" s="4" t="str">
        <f>""</f>
        <v/>
      </c>
      <c r="BP207" s="4" t="str">
        <f>""</f>
        <v/>
      </c>
      <c r="BQ207" s="4" t="str">
        <f>""</f>
        <v/>
      </c>
      <c r="BR207" s="4" t="str">
        <f>"1962"</f>
        <v>1962</v>
      </c>
      <c r="BS207" s="4" t="str">
        <f>"55,00"</f>
        <v>55,00</v>
      </c>
      <c r="BT207" s="4" t="str">
        <f>"2020-2022"</f>
        <v>2020-2022</v>
      </c>
      <c r="BU207" s="4" t="str">
        <f t="shared" si="237"/>
        <v>нет</v>
      </c>
      <c r="BV207" s="4" t="str">
        <f t="shared" si="220"/>
        <v>x</v>
      </c>
      <c r="BW207" s="4" t="str">
        <f t="shared" si="220"/>
        <v>x</v>
      </c>
      <c r="BX207" s="4" t="str">
        <f t="shared" si="220"/>
        <v>x</v>
      </c>
      <c r="BY207" s="4" t="str">
        <f t="shared" si="229"/>
        <v>нет</v>
      </c>
      <c r="BZ207" s="4" t="str">
        <f t="shared" si="228"/>
        <v>x</v>
      </c>
      <c r="CA207" s="4" t="str">
        <f t="shared" si="228"/>
        <v>x</v>
      </c>
      <c r="CB207" s="4" t="str">
        <f t="shared" si="228"/>
        <v>x</v>
      </c>
      <c r="CC207" s="4" t="str">
        <f>"1962"</f>
        <v>1962</v>
      </c>
      <c r="CD207" s="4" t="str">
        <f>"45,00"</f>
        <v>45,00</v>
      </c>
      <c r="CE207" s="4" t="str">
        <f>"2020-2022"</f>
        <v>2020-2022</v>
      </c>
      <c r="CF207" s="4" t="str">
        <f>"1962"</f>
        <v>1962</v>
      </c>
      <c r="CG207" s="4" t="str">
        <f>"45,00"</f>
        <v>45,00</v>
      </c>
      <c r="CH207" s="4" t="str">
        <f>"2044-2046"</f>
        <v>2044-2046</v>
      </c>
      <c r="CI207" s="4" t="str">
        <f>"43,00"</f>
        <v>43,00</v>
      </c>
      <c r="CJ207" s="4" t="str">
        <f>"2020-2022"</f>
        <v>2020-2022</v>
      </c>
    </row>
    <row r="208" spans="1:88" ht="11.25" customHeight="1">
      <c r="A208" s="45" t="str">
        <f>"24.195"</f>
        <v>24.195</v>
      </c>
      <c r="B208" s="46" t="str">
        <f>"г. Харовск, ул.Свободы, д.18"</f>
        <v>г. Харовск, ул.Свободы, д.18</v>
      </c>
      <c r="C208" s="6" t="str">
        <f>"1962"</f>
        <v>1962</v>
      </c>
      <c r="D208" s="4" t="str">
        <f>"1962"</f>
        <v>1962</v>
      </c>
      <c r="E208" s="4" t="str">
        <f>"30,00"</f>
        <v>30,00</v>
      </c>
      <c r="F208" s="4" t="str">
        <f>"2020-2022"</f>
        <v>2020-2022</v>
      </c>
      <c r="G208" s="4" t="str">
        <f t="shared" si="211"/>
        <v>нет</v>
      </c>
      <c r="H208" s="4" t="str">
        <f>""</f>
        <v/>
      </c>
      <c r="I208" s="4" t="str">
        <f>""</f>
        <v/>
      </c>
      <c r="J208" s="4" t="str">
        <f>""</f>
        <v/>
      </c>
      <c r="K208" s="4" t="str">
        <f t="shared" si="235"/>
        <v>нет</v>
      </c>
      <c r="L208" s="4" t="str">
        <f>""</f>
        <v/>
      </c>
      <c r="M208" s="4" t="str">
        <f>""</f>
        <v/>
      </c>
      <c r="N208" s="4" t="str">
        <f>""</f>
        <v/>
      </c>
      <c r="O208" s="7" t="str">
        <f>"1962"</f>
        <v>1962</v>
      </c>
      <c r="P208" s="4" t="str">
        <f>"30,00"</f>
        <v>30,00</v>
      </c>
      <c r="Q208" s="4" t="str">
        <f>"2035-2037"</f>
        <v>2035-2037</v>
      </c>
      <c r="R208" s="4" t="str">
        <f>"нет"</f>
        <v>нет</v>
      </c>
      <c r="S208" s="4" t="str">
        <f>""</f>
        <v/>
      </c>
      <c r="T208" s="4" t="str">
        <f>""</f>
        <v/>
      </c>
      <c r="U208" s="4" t="str">
        <f>""</f>
        <v/>
      </c>
      <c r="V208" s="4" t="str">
        <f>"нет"</f>
        <v>нет</v>
      </c>
      <c r="W208" s="4" t="str">
        <f>""</f>
        <v/>
      </c>
      <c r="X208" s="4" t="str">
        <f>""</f>
        <v/>
      </c>
      <c r="Y208" s="8" t="str">
        <f>""</f>
        <v/>
      </c>
      <c r="Z208" s="4" t="str">
        <f t="shared" si="230"/>
        <v>х</v>
      </c>
      <c r="AA208" s="4" t="str">
        <f t="shared" si="230"/>
        <v>х</v>
      </c>
      <c r="AB208" s="4" t="str">
        <f t="shared" si="230"/>
        <v>х</v>
      </c>
      <c r="AC208" s="4" t="str">
        <f t="shared" si="230"/>
        <v>х</v>
      </c>
      <c r="AD208" s="4" t="str">
        <f t="shared" si="230"/>
        <v>х</v>
      </c>
      <c r="AE208" s="4" t="str">
        <f t="shared" si="230"/>
        <v>х</v>
      </c>
      <c r="AF208" s="4" t="str">
        <f t="shared" si="230"/>
        <v>х</v>
      </c>
      <c r="AG208" s="4" t="str">
        <f t="shared" si="230"/>
        <v>х</v>
      </c>
      <c r="AH208" s="4" t="str">
        <f t="shared" si="230"/>
        <v>х</v>
      </c>
      <c r="AI208" s="4" t="str">
        <f t="shared" si="230"/>
        <v>х</v>
      </c>
      <c r="AJ208" s="4" t="str">
        <f t="shared" si="230"/>
        <v>х</v>
      </c>
      <c r="AK208" s="7" t="str">
        <f>"1962"</f>
        <v>1962</v>
      </c>
      <c r="AL208" s="4" t="str">
        <f>"30,00"</f>
        <v>30,00</v>
      </c>
      <c r="AM208" s="4" t="str">
        <f>"2020-2022"</f>
        <v>2020-2022</v>
      </c>
      <c r="AN208" s="4" t="str">
        <f>"нет"</f>
        <v>нет</v>
      </c>
      <c r="AO208" s="4" t="str">
        <f>""</f>
        <v/>
      </c>
      <c r="AP208" s="4" t="str">
        <f>""</f>
        <v/>
      </c>
      <c r="AQ208" s="4" t="str">
        <f>""</f>
        <v/>
      </c>
      <c r="AR208" s="4" t="str">
        <f>"нет"</f>
        <v>нет</v>
      </c>
      <c r="AS208" s="4" t="str">
        <f>""</f>
        <v/>
      </c>
      <c r="AT208" s="4" t="str">
        <f>""</f>
        <v/>
      </c>
      <c r="AU208" s="4" t="str">
        <f>""</f>
        <v/>
      </c>
      <c r="AV208" s="4" t="str">
        <f t="shared" si="231"/>
        <v>х</v>
      </c>
      <c r="AW208" s="4" t="str">
        <f t="shared" si="231"/>
        <v>х</v>
      </c>
      <c r="AX208" s="4" t="str">
        <f t="shared" si="231"/>
        <v>х</v>
      </c>
      <c r="AY208" s="4" t="str">
        <f t="shared" si="231"/>
        <v>х</v>
      </c>
      <c r="AZ208" s="4" t="str">
        <f t="shared" si="231"/>
        <v>х</v>
      </c>
      <c r="BA208" s="4" t="str">
        <f t="shared" si="231"/>
        <v>х</v>
      </c>
      <c r="BB208" s="4" t="str">
        <f t="shared" si="231"/>
        <v>х</v>
      </c>
      <c r="BC208" s="4" t="str">
        <f t="shared" si="231"/>
        <v>х</v>
      </c>
      <c r="BD208" s="4" t="str">
        <f t="shared" si="231"/>
        <v>х</v>
      </c>
      <c r="BE208" s="4" t="str">
        <f t="shared" si="231"/>
        <v>х</v>
      </c>
      <c r="BF208" s="4" t="str">
        <f t="shared" si="231"/>
        <v>х</v>
      </c>
      <c r="BG208" s="4" t="str">
        <f>"1962"</f>
        <v>1962</v>
      </c>
      <c r="BH208" s="4" t="str">
        <f>"30,00"</f>
        <v>30,00</v>
      </c>
      <c r="BI208" s="4" t="str">
        <f>"2020-2022"</f>
        <v>2020-2022</v>
      </c>
      <c r="BJ208" s="4" t="str">
        <f>"нет"</f>
        <v>нет</v>
      </c>
      <c r="BK208" s="4" t="str">
        <f>""</f>
        <v/>
      </c>
      <c r="BL208" s="4" t="str">
        <f>""</f>
        <v/>
      </c>
      <c r="BM208" s="4" t="str">
        <f>""</f>
        <v/>
      </c>
      <c r="BN208" s="4" t="str">
        <f>"нет"</f>
        <v>нет</v>
      </c>
      <c r="BO208" s="4" t="str">
        <f>""</f>
        <v/>
      </c>
      <c r="BP208" s="4" t="str">
        <f>""</f>
        <v/>
      </c>
      <c r="BQ208" s="4" t="str">
        <f>""</f>
        <v/>
      </c>
      <c r="BR208" s="4" t="str">
        <f>"1962"</f>
        <v>1962</v>
      </c>
      <c r="BS208" s="4" t="str">
        <f>"55,00"</f>
        <v>55,00</v>
      </c>
      <c r="BT208" s="4" t="str">
        <f>"2035-2037"</f>
        <v>2035-2037</v>
      </c>
      <c r="BU208" s="4" t="str">
        <f t="shared" si="237"/>
        <v>нет</v>
      </c>
      <c r="BV208" s="4" t="str">
        <f t="shared" si="220"/>
        <v>x</v>
      </c>
      <c r="BW208" s="4" t="str">
        <f t="shared" si="220"/>
        <v>x</v>
      </c>
      <c r="BX208" s="4" t="str">
        <f t="shared" si="220"/>
        <v>x</v>
      </c>
      <c r="BY208" s="4" t="str">
        <f t="shared" si="229"/>
        <v>нет</v>
      </c>
      <c r="BZ208" s="4" t="str">
        <f t="shared" si="228"/>
        <v>x</v>
      </c>
      <c r="CA208" s="4" t="str">
        <f t="shared" si="228"/>
        <v>x</v>
      </c>
      <c r="CB208" s="4" t="str">
        <f t="shared" si="228"/>
        <v>x</v>
      </c>
      <c r="CC208" s="4" t="str">
        <f>"1962"</f>
        <v>1962</v>
      </c>
      <c r="CD208" s="4" t="str">
        <f>"50,00"</f>
        <v>50,00</v>
      </c>
      <c r="CE208" s="4" t="str">
        <f>"2020-2022"</f>
        <v>2020-2022</v>
      </c>
      <c r="CF208" s="4" t="str">
        <f>"1962"</f>
        <v>1962</v>
      </c>
      <c r="CG208" s="4" t="str">
        <f>"45,00"</f>
        <v>45,00</v>
      </c>
      <c r="CH208" s="4" t="str">
        <f>"2035-2037"</f>
        <v>2035-2037</v>
      </c>
      <c r="CI208" s="4" t="str">
        <f>"47,00"</f>
        <v>47,00</v>
      </c>
      <c r="CJ208" s="4" t="str">
        <f>"2020-2022"</f>
        <v>2020-2022</v>
      </c>
    </row>
    <row r="209" spans="1:88" ht="11.25" customHeight="1">
      <c r="A209" s="45" t="str">
        <f>"24.196"</f>
        <v>24.196</v>
      </c>
      <c r="B209" s="46" t="str">
        <f>"г. Харовск, ул.Свободы, д.22"</f>
        <v>г. Харовск, ул.Свободы, д.22</v>
      </c>
      <c r="C209" s="6" t="str">
        <f>"1998"</f>
        <v>1998</v>
      </c>
      <c r="D209" s="4" t="str">
        <f>"1998"</f>
        <v>1998</v>
      </c>
      <c r="E209" s="4" t="str">
        <f>"20,00"</f>
        <v>20,00</v>
      </c>
      <c r="F209" s="4" t="str">
        <f>"2036-2038"</f>
        <v>2036-2038</v>
      </c>
      <c r="G209" s="4" t="str">
        <f t="shared" si="211"/>
        <v>нет</v>
      </c>
      <c r="H209" s="4" t="str">
        <f>""</f>
        <v/>
      </c>
      <c r="I209" s="4" t="str">
        <f>""</f>
        <v/>
      </c>
      <c r="J209" s="4" t="str">
        <f>""</f>
        <v/>
      </c>
      <c r="K209" s="4" t="str">
        <f t="shared" si="235"/>
        <v>нет</v>
      </c>
      <c r="L209" s="4" t="str">
        <f>""</f>
        <v/>
      </c>
      <c r="M209" s="4" t="str">
        <f>""</f>
        <v/>
      </c>
      <c r="N209" s="4" t="str">
        <f>""</f>
        <v/>
      </c>
      <c r="O209" s="7" t="str">
        <f>"1998"</f>
        <v>1998</v>
      </c>
      <c r="P209" s="4" t="str">
        <f>"20,00"</f>
        <v>20,00</v>
      </c>
      <c r="Q209" s="4" t="str">
        <f>"2036-2038"</f>
        <v>2036-2038</v>
      </c>
      <c r="R209" s="4" t="str">
        <f>"да"</f>
        <v>да</v>
      </c>
      <c r="S209" s="4" t="str">
        <f>"2009"</f>
        <v>2009</v>
      </c>
      <c r="T209" s="4" t="str">
        <f>"75,00"</f>
        <v>75,00</v>
      </c>
      <c r="U209" s="4" t="str">
        <f>"2036-2038"</f>
        <v>2036-2038</v>
      </c>
      <c r="V209" s="4" t="str">
        <f>"нет"</f>
        <v>нет</v>
      </c>
      <c r="W209" s="4" t="str">
        <f>""</f>
        <v/>
      </c>
      <c r="X209" s="4" t="str">
        <f>""</f>
        <v/>
      </c>
      <c r="Y209" s="8" t="str">
        <f>""</f>
        <v/>
      </c>
      <c r="Z209" s="4" t="str">
        <f t="shared" si="230"/>
        <v>х</v>
      </c>
      <c r="AA209" s="4" t="str">
        <f t="shared" si="230"/>
        <v>х</v>
      </c>
      <c r="AB209" s="4" t="str">
        <f t="shared" si="230"/>
        <v>х</v>
      </c>
      <c r="AC209" s="4" t="str">
        <f t="shared" si="230"/>
        <v>х</v>
      </c>
      <c r="AD209" s="4" t="str">
        <f t="shared" si="230"/>
        <v>х</v>
      </c>
      <c r="AE209" s="4" t="str">
        <f t="shared" si="230"/>
        <v>х</v>
      </c>
      <c r="AF209" s="4" t="str">
        <f t="shared" si="230"/>
        <v>х</v>
      </c>
      <c r="AG209" s="4" t="str">
        <f t="shared" si="230"/>
        <v>х</v>
      </c>
      <c r="AH209" s="4" t="str">
        <f t="shared" si="230"/>
        <v>х</v>
      </c>
      <c r="AI209" s="4" t="str">
        <f t="shared" si="230"/>
        <v>х</v>
      </c>
      <c r="AJ209" s="4" t="str">
        <f t="shared" si="230"/>
        <v>х</v>
      </c>
      <c r="AK209" s="7" t="str">
        <f>"1998"</f>
        <v>1998</v>
      </c>
      <c r="AL209" s="4" t="str">
        <f>"20,00"</f>
        <v>20,00</v>
      </c>
      <c r="AM209" s="4" t="str">
        <f>"2036-2038"</f>
        <v>2036-2038</v>
      </c>
      <c r="AN209" s="4" t="str">
        <f>"да"</f>
        <v>да</v>
      </c>
      <c r="AO209" s="4" t="str">
        <f>"2013"</f>
        <v>2013</v>
      </c>
      <c r="AP209" s="4" t="str">
        <f>"0,00"</f>
        <v>0,00</v>
      </c>
      <c r="AQ209" s="4" t="str">
        <f>"2036-2038"</f>
        <v>2036-2038</v>
      </c>
      <c r="AR209" s="4" t="str">
        <f>"нет"</f>
        <v>нет</v>
      </c>
      <c r="AS209" s="4" t="str">
        <f>""</f>
        <v/>
      </c>
      <c r="AT209" s="4" t="str">
        <f>""</f>
        <v/>
      </c>
      <c r="AU209" s="4" t="str">
        <f>""</f>
        <v/>
      </c>
      <c r="AV209" s="4" t="str">
        <f>"1998"</f>
        <v>1998</v>
      </c>
      <c r="AW209" s="4" t="str">
        <f>"20,00"</f>
        <v>20,00</v>
      </c>
      <c r="AX209" s="4" t="str">
        <f>"2036-2038"</f>
        <v>2036-2038</v>
      </c>
      <c r="AY209" s="4" t="str">
        <f>"нет"</f>
        <v>нет</v>
      </c>
      <c r="AZ209" s="4" t="str">
        <f>""</f>
        <v/>
      </c>
      <c r="BA209" s="4" t="str">
        <f>""</f>
        <v/>
      </c>
      <c r="BB209" s="4" t="str">
        <f>""</f>
        <v/>
      </c>
      <c r="BC209" s="4" t="str">
        <f>"нет"</f>
        <v>нет</v>
      </c>
      <c r="BD209" s="4" t="str">
        <f>""</f>
        <v/>
      </c>
      <c r="BE209" s="4" t="str">
        <f>""</f>
        <v/>
      </c>
      <c r="BF209" s="4" t="str">
        <f>""</f>
        <v/>
      </c>
      <c r="BG209" s="4" t="str">
        <f>"1998"</f>
        <v>1998</v>
      </c>
      <c r="BH209" s="4" t="str">
        <f>"20,00"</f>
        <v>20,00</v>
      </c>
      <c r="BI209" s="4" t="str">
        <f>"2036-2038"</f>
        <v>2036-2038</v>
      </c>
      <c r="BJ209" s="4" t="str">
        <f>"нет"</f>
        <v>нет</v>
      </c>
      <c r="BK209" s="4" t="str">
        <f>""</f>
        <v/>
      </c>
      <c r="BL209" s="4" t="str">
        <f>""</f>
        <v/>
      </c>
      <c r="BM209" s="4" t="str">
        <f>""</f>
        <v/>
      </c>
      <c r="BN209" s="4" t="str">
        <f>"нет"</f>
        <v>нет</v>
      </c>
      <c r="BO209" s="4" t="str">
        <f>""</f>
        <v/>
      </c>
      <c r="BP209" s="4" t="str">
        <f>""</f>
        <v/>
      </c>
      <c r="BQ209" s="4" t="str">
        <f>""</f>
        <v/>
      </c>
      <c r="BR209" s="4" t="str">
        <f>"1998"</f>
        <v>1998</v>
      </c>
      <c r="BS209" s="4" t="str">
        <f>"20,00"</f>
        <v>20,00</v>
      </c>
      <c r="BT209" s="4" t="str">
        <f>"2036-2038"</f>
        <v>2036-2038</v>
      </c>
      <c r="BU209" s="4" t="str">
        <f t="shared" si="237"/>
        <v>нет</v>
      </c>
      <c r="BV209" s="4" t="str">
        <f t="shared" si="220"/>
        <v>x</v>
      </c>
      <c r="BW209" s="4" t="str">
        <f t="shared" si="220"/>
        <v>x</v>
      </c>
      <c r="BX209" s="4" t="str">
        <f t="shared" si="220"/>
        <v>x</v>
      </c>
      <c r="BY209" s="4" t="str">
        <f t="shared" si="229"/>
        <v>нет</v>
      </c>
      <c r="BZ209" s="4" t="str">
        <f t="shared" si="228"/>
        <v>x</v>
      </c>
      <c r="CA209" s="4" t="str">
        <f t="shared" si="228"/>
        <v>x</v>
      </c>
      <c r="CB209" s="4" t="str">
        <f t="shared" si="228"/>
        <v>x</v>
      </c>
      <c r="CC209" s="4" t="str">
        <f>"1998"</f>
        <v>1998</v>
      </c>
      <c r="CD209" s="4" t="str">
        <f>"10,00"</f>
        <v>10,00</v>
      </c>
      <c r="CE209" s="4" t="str">
        <f>"2036-2038"</f>
        <v>2036-2038</v>
      </c>
      <c r="CF209" s="4" t="str">
        <f>"1998"</f>
        <v>1998</v>
      </c>
      <c r="CG209" s="4" t="str">
        <f>"10,00"</f>
        <v>10,00</v>
      </c>
      <c r="CH209" s="4" t="str">
        <f>"2036-2038"</f>
        <v>2036-2038</v>
      </c>
      <c r="CI209" s="4" t="str">
        <f>"15,00"</f>
        <v>15,00</v>
      </c>
      <c r="CJ209" s="4" t="str">
        <f>"2036-2038"</f>
        <v>2036-2038</v>
      </c>
    </row>
    <row r="210" spans="1:88" ht="11.25" customHeight="1">
      <c r="A210" s="45" t="str">
        <f>"24.197"</f>
        <v>24.197</v>
      </c>
      <c r="B210" s="46" t="str">
        <f>"г. Харовск, ул.Свободы, д.24"</f>
        <v>г. Харовск, ул.Свободы, д.24</v>
      </c>
      <c r="C210" s="6" t="str">
        <f>"1959"</f>
        <v>1959</v>
      </c>
      <c r="D210" s="4" t="str">
        <f>"1959"</f>
        <v>1959</v>
      </c>
      <c r="E210" s="4" t="str">
        <f>"20,00"</f>
        <v>20,00</v>
      </c>
      <c r="F210" s="4" t="str">
        <f>"2028-2030"</f>
        <v>2028-2030</v>
      </c>
      <c r="G210" s="4" t="str">
        <f t="shared" si="211"/>
        <v>нет</v>
      </c>
      <c r="H210" s="4" t="str">
        <f>""</f>
        <v/>
      </c>
      <c r="I210" s="4" t="str">
        <f>""</f>
        <v/>
      </c>
      <c r="J210" s="4" t="str">
        <f>""</f>
        <v/>
      </c>
      <c r="K210" s="4" t="str">
        <f t="shared" si="235"/>
        <v>нет</v>
      </c>
      <c r="L210" s="4" t="str">
        <f>""</f>
        <v/>
      </c>
      <c r="M210" s="4" t="str">
        <f>""</f>
        <v/>
      </c>
      <c r="N210" s="4" t="str">
        <f>""</f>
        <v/>
      </c>
      <c r="O210" s="7" t="str">
        <f>"1959"</f>
        <v>1959</v>
      </c>
      <c r="P210" s="4" t="str">
        <f>"20,00"</f>
        <v>20,00</v>
      </c>
      <c r="Q210" s="4" t="str">
        <f>"2018-2020"</f>
        <v>2018-2020</v>
      </c>
      <c r="R210" s="4" t="str">
        <f>"нет"</f>
        <v>нет</v>
      </c>
      <c r="S210" s="4" t="str">
        <f>""</f>
        <v/>
      </c>
      <c r="T210" s="4" t="str">
        <f>""</f>
        <v/>
      </c>
      <c r="U210" s="4" t="str">
        <f>"2018-2020"</f>
        <v>2018-2020</v>
      </c>
      <c r="V210" s="4" t="str">
        <f>"нет"</f>
        <v>нет</v>
      </c>
      <c r="W210" s="4" t="str">
        <f>""</f>
        <v/>
      </c>
      <c r="X210" s="4" t="str">
        <f>""</f>
        <v/>
      </c>
      <c r="Y210" s="8" t="str">
        <f>""</f>
        <v/>
      </c>
      <c r="Z210" s="4" t="str">
        <f t="shared" si="230"/>
        <v>х</v>
      </c>
      <c r="AA210" s="4" t="str">
        <f t="shared" si="230"/>
        <v>х</v>
      </c>
      <c r="AB210" s="4" t="str">
        <f t="shared" si="230"/>
        <v>х</v>
      </c>
      <c r="AC210" s="4" t="str">
        <f t="shared" si="230"/>
        <v>х</v>
      </c>
      <c r="AD210" s="4" t="str">
        <f t="shared" si="230"/>
        <v>х</v>
      </c>
      <c r="AE210" s="4" t="str">
        <f t="shared" si="230"/>
        <v>х</v>
      </c>
      <c r="AF210" s="4" t="str">
        <f t="shared" si="230"/>
        <v>х</v>
      </c>
      <c r="AG210" s="4" t="str">
        <f t="shared" si="230"/>
        <v>х</v>
      </c>
      <c r="AH210" s="4" t="str">
        <f t="shared" si="230"/>
        <v>х</v>
      </c>
      <c r="AI210" s="4" t="str">
        <f t="shared" si="230"/>
        <v>х</v>
      </c>
      <c r="AJ210" s="4" t="str">
        <f t="shared" si="230"/>
        <v>х</v>
      </c>
      <c r="AK210" s="7" t="str">
        <f>"1959"</f>
        <v>1959</v>
      </c>
      <c r="AL210" s="4" t="str">
        <f>"20,00"</f>
        <v>20,00</v>
      </c>
      <c r="AM210" s="4" t="str">
        <f>"2028-2030"</f>
        <v>2028-2030</v>
      </c>
      <c r="AN210" s="4" t="str">
        <f>"нет"</f>
        <v>нет</v>
      </c>
      <c r="AO210" s="4" t="str">
        <f>""</f>
        <v/>
      </c>
      <c r="AP210" s="4" t="str">
        <f>""</f>
        <v/>
      </c>
      <c r="AQ210" s="4" t="str">
        <f>""</f>
        <v/>
      </c>
      <c r="AR210" s="4" t="str">
        <f>"нет"</f>
        <v>нет</v>
      </c>
      <c r="AS210" s="4" t="str">
        <f>""</f>
        <v/>
      </c>
      <c r="AT210" s="4" t="str">
        <f>""</f>
        <v/>
      </c>
      <c r="AU210" s="4" t="str">
        <f>""</f>
        <v/>
      </c>
      <c r="AV210" s="4" t="str">
        <f t="shared" ref="AV210:BF214" si="238">"х"</f>
        <v>х</v>
      </c>
      <c r="AW210" s="4" t="str">
        <f t="shared" si="238"/>
        <v>х</v>
      </c>
      <c r="AX210" s="4" t="str">
        <f t="shared" si="238"/>
        <v>х</v>
      </c>
      <c r="AY210" s="4" t="str">
        <f t="shared" si="238"/>
        <v>х</v>
      </c>
      <c r="AZ210" s="4" t="str">
        <f t="shared" si="238"/>
        <v>х</v>
      </c>
      <c r="BA210" s="4" t="str">
        <f t="shared" si="238"/>
        <v>х</v>
      </c>
      <c r="BB210" s="4" t="str">
        <f t="shared" si="238"/>
        <v>х</v>
      </c>
      <c r="BC210" s="4" t="str">
        <f t="shared" si="238"/>
        <v>х</v>
      </c>
      <c r="BD210" s="4" t="str">
        <f t="shared" si="238"/>
        <v>х</v>
      </c>
      <c r="BE210" s="4" t="str">
        <f t="shared" si="238"/>
        <v>х</v>
      </c>
      <c r="BF210" s="4" t="str">
        <f t="shared" si="238"/>
        <v>х</v>
      </c>
      <c r="BG210" s="4" t="str">
        <f>"1959"</f>
        <v>1959</v>
      </c>
      <c r="BH210" s="4" t="str">
        <f>"20,00"</f>
        <v>20,00</v>
      </c>
      <c r="BI210" s="4" t="str">
        <f>"2028-2030"</f>
        <v>2028-2030</v>
      </c>
      <c r="BJ210" s="4" t="str">
        <f>"нет"</f>
        <v>нет</v>
      </c>
      <c r="BK210" s="4" t="str">
        <f>""</f>
        <v/>
      </c>
      <c r="BL210" s="4" t="str">
        <f>""</f>
        <v/>
      </c>
      <c r="BM210" s="4" t="str">
        <f>""</f>
        <v/>
      </c>
      <c r="BN210" s="4" t="str">
        <f>"нет"</f>
        <v>нет</v>
      </c>
      <c r="BO210" s="4" t="str">
        <f>""</f>
        <v/>
      </c>
      <c r="BP210" s="4" t="str">
        <f>""</f>
        <v/>
      </c>
      <c r="BQ210" s="4" t="str">
        <f>""</f>
        <v/>
      </c>
      <c r="BR210" s="4" t="str">
        <f>"1959"</f>
        <v>1959</v>
      </c>
      <c r="BS210" s="4" t="str">
        <f>"50,00"</f>
        <v>50,00</v>
      </c>
      <c r="BT210" s="4" t="str">
        <f>"2018-2020"</f>
        <v>2018-2020</v>
      </c>
      <c r="BU210" s="4" t="str">
        <f t="shared" si="237"/>
        <v>нет</v>
      </c>
      <c r="BV210" s="4" t="str">
        <f t="shared" si="220"/>
        <v>x</v>
      </c>
      <c r="BW210" s="4" t="str">
        <f t="shared" si="220"/>
        <v>x</v>
      </c>
      <c r="BX210" s="4" t="str">
        <f t="shared" si="220"/>
        <v>x</v>
      </c>
      <c r="BY210" s="4" t="str">
        <f t="shared" si="229"/>
        <v>нет</v>
      </c>
      <c r="BZ210" s="4" t="str">
        <f t="shared" si="228"/>
        <v>x</v>
      </c>
      <c r="CA210" s="4" t="str">
        <f t="shared" si="228"/>
        <v>x</v>
      </c>
      <c r="CB210" s="4" t="str">
        <f t="shared" si="228"/>
        <v>x</v>
      </c>
      <c r="CC210" s="4" t="str">
        <f>"1959"</f>
        <v>1959</v>
      </c>
      <c r="CD210" s="4" t="str">
        <f>"55,00"</f>
        <v>55,00</v>
      </c>
      <c r="CE210" s="4" t="str">
        <f>"2018-2020"</f>
        <v>2018-2020</v>
      </c>
      <c r="CF210" s="4" t="str">
        <f>"1959"</f>
        <v>1959</v>
      </c>
      <c r="CG210" s="4" t="str">
        <f>"45,00"</f>
        <v>45,00</v>
      </c>
      <c r="CH210" s="4" t="str">
        <f>"2028-2030"</f>
        <v>2028-2030</v>
      </c>
      <c r="CI210" s="4" t="str">
        <f>"43,00"</f>
        <v>43,00</v>
      </c>
      <c r="CJ210" s="4" t="str">
        <f>"2018-2020"</f>
        <v>2018-2020</v>
      </c>
    </row>
    <row r="211" spans="1:88" ht="11.25" customHeight="1">
      <c r="A211" s="45" t="str">
        <f>"24.198"</f>
        <v>24.198</v>
      </c>
      <c r="B211" s="46" t="str">
        <f>"г. Харовск, ул.Свободы, д.6"</f>
        <v>г. Харовск, ул.Свободы, д.6</v>
      </c>
      <c r="C211" s="6" t="str">
        <f>"1938"</f>
        <v>1938</v>
      </c>
      <c r="D211" s="4" t="str">
        <f>"1938"</f>
        <v>1938</v>
      </c>
      <c r="E211" s="4" t="str">
        <f>"50,00"</f>
        <v>50,00</v>
      </c>
      <c r="F211" s="4" t="str">
        <f>"2016-2018"</f>
        <v>2016-2018</v>
      </c>
      <c r="G211" s="4" t="str">
        <f t="shared" si="211"/>
        <v>нет</v>
      </c>
      <c r="H211" s="4" t="str">
        <f>""</f>
        <v/>
      </c>
      <c r="I211" s="4" t="str">
        <f>""</f>
        <v/>
      </c>
      <c r="J211" s="4" t="str">
        <f>""</f>
        <v/>
      </c>
      <c r="K211" s="4" t="str">
        <f t="shared" si="235"/>
        <v>нет</v>
      </c>
      <c r="L211" s="4" t="str">
        <f>""</f>
        <v/>
      </c>
      <c r="M211" s="4" t="str">
        <f>""</f>
        <v/>
      </c>
      <c r="N211" s="4" t="str">
        <f>""</f>
        <v/>
      </c>
      <c r="O211" s="7" t="str">
        <f t="shared" ref="O211:Y213" si="239">"х"</f>
        <v>х</v>
      </c>
      <c r="P211" s="4" t="str">
        <f t="shared" si="239"/>
        <v>х</v>
      </c>
      <c r="Q211" s="4" t="str">
        <f t="shared" si="239"/>
        <v>х</v>
      </c>
      <c r="R211" s="4" t="str">
        <f t="shared" si="239"/>
        <v>х</v>
      </c>
      <c r="S211" s="4" t="str">
        <f t="shared" si="239"/>
        <v>х</v>
      </c>
      <c r="T211" s="4" t="str">
        <f t="shared" si="239"/>
        <v>х</v>
      </c>
      <c r="U211" s="4" t="str">
        <f t="shared" si="239"/>
        <v>х</v>
      </c>
      <c r="V211" s="4" t="str">
        <f t="shared" si="239"/>
        <v>х</v>
      </c>
      <c r="W211" s="4" t="str">
        <f t="shared" si="239"/>
        <v>х</v>
      </c>
      <c r="X211" s="4" t="str">
        <f t="shared" si="239"/>
        <v>х</v>
      </c>
      <c r="Y211" s="8" t="str">
        <f t="shared" si="239"/>
        <v>х</v>
      </c>
      <c r="Z211" s="4" t="str">
        <f t="shared" si="230"/>
        <v>х</v>
      </c>
      <c r="AA211" s="4" t="str">
        <f t="shared" si="230"/>
        <v>х</v>
      </c>
      <c r="AB211" s="4" t="str">
        <f t="shared" si="230"/>
        <v>х</v>
      </c>
      <c r="AC211" s="4" t="str">
        <f t="shared" si="230"/>
        <v>х</v>
      </c>
      <c r="AD211" s="4" t="str">
        <f t="shared" si="230"/>
        <v>х</v>
      </c>
      <c r="AE211" s="4" t="str">
        <f t="shared" si="230"/>
        <v>х</v>
      </c>
      <c r="AF211" s="4" t="str">
        <f t="shared" si="230"/>
        <v>х</v>
      </c>
      <c r="AG211" s="4" t="str">
        <f t="shared" si="230"/>
        <v>х</v>
      </c>
      <c r="AH211" s="4" t="str">
        <f t="shared" si="230"/>
        <v>х</v>
      </c>
      <c r="AI211" s="4" t="str">
        <f t="shared" si="230"/>
        <v>х</v>
      </c>
      <c r="AJ211" s="4" t="str">
        <f t="shared" si="230"/>
        <v>х</v>
      </c>
      <c r="AK211" s="7" t="str">
        <f t="shared" ref="AK211:AU213" si="240">"х"</f>
        <v>х</v>
      </c>
      <c r="AL211" s="4" t="str">
        <f t="shared" si="240"/>
        <v>х</v>
      </c>
      <c r="AM211" s="4" t="str">
        <f t="shared" si="240"/>
        <v>х</v>
      </c>
      <c r="AN211" s="4" t="str">
        <f t="shared" si="240"/>
        <v>х</v>
      </c>
      <c r="AO211" s="4" t="str">
        <f t="shared" si="240"/>
        <v>х</v>
      </c>
      <c r="AP211" s="4" t="str">
        <f t="shared" si="240"/>
        <v>х</v>
      </c>
      <c r="AQ211" s="4" t="str">
        <f t="shared" si="240"/>
        <v>х</v>
      </c>
      <c r="AR211" s="4" t="str">
        <f t="shared" si="240"/>
        <v>х</v>
      </c>
      <c r="AS211" s="4" t="str">
        <f t="shared" si="240"/>
        <v>х</v>
      </c>
      <c r="AT211" s="4" t="str">
        <f t="shared" si="240"/>
        <v>х</v>
      </c>
      <c r="AU211" s="4" t="str">
        <f t="shared" si="240"/>
        <v>х</v>
      </c>
      <c r="AV211" s="4" t="str">
        <f t="shared" si="238"/>
        <v>х</v>
      </c>
      <c r="AW211" s="4" t="str">
        <f t="shared" si="238"/>
        <v>х</v>
      </c>
      <c r="AX211" s="4" t="str">
        <f t="shared" si="238"/>
        <v>х</v>
      </c>
      <c r="AY211" s="4" t="str">
        <f t="shared" si="238"/>
        <v>х</v>
      </c>
      <c r="AZ211" s="4" t="str">
        <f t="shared" si="238"/>
        <v>х</v>
      </c>
      <c r="BA211" s="4" t="str">
        <f t="shared" si="238"/>
        <v>х</v>
      </c>
      <c r="BB211" s="4" t="str">
        <f t="shared" si="238"/>
        <v>х</v>
      </c>
      <c r="BC211" s="4" t="str">
        <f t="shared" si="238"/>
        <v>х</v>
      </c>
      <c r="BD211" s="4" t="str">
        <f t="shared" si="238"/>
        <v>х</v>
      </c>
      <c r="BE211" s="4" t="str">
        <f t="shared" si="238"/>
        <v>х</v>
      </c>
      <c r="BF211" s="4" t="str">
        <f t="shared" si="238"/>
        <v>х</v>
      </c>
      <c r="BG211" s="4" t="str">
        <f t="shared" ref="BG211:BQ213" si="241">"х"</f>
        <v>х</v>
      </c>
      <c r="BH211" s="4" t="str">
        <f t="shared" si="241"/>
        <v>х</v>
      </c>
      <c r="BI211" s="4" t="str">
        <f t="shared" si="241"/>
        <v>х</v>
      </c>
      <c r="BJ211" s="4" t="str">
        <f t="shared" si="241"/>
        <v>х</v>
      </c>
      <c r="BK211" s="4" t="str">
        <f t="shared" si="241"/>
        <v>х</v>
      </c>
      <c r="BL211" s="4" t="str">
        <f t="shared" si="241"/>
        <v>х</v>
      </c>
      <c r="BM211" s="4" t="str">
        <f t="shared" si="241"/>
        <v>х</v>
      </c>
      <c r="BN211" s="4" t="str">
        <f t="shared" si="241"/>
        <v>х</v>
      </c>
      <c r="BO211" s="4" t="str">
        <f t="shared" si="241"/>
        <v>х</v>
      </c>
      <c r="BP211" s="4" t="str">
        <f t="shared" si="241"/>
        <v>х</v>
      </c>
      <c r="BQ211" s="4" t="str">
        <f t="shared" si="241"/>
        <v>х</v>
      </c>
      <c r="BR211" s="4" t="str">
        <f>"1938"</f>
        <v>1938</v>
      </c>
      <c r="BS211" s="4" t="str">
        <f>"40,00"</f>
        <v>40,00</v>
      </c>
      <c r="BT211" s="4" t="str">
        <f>"2016-2018"</f>
        <v>2016-2018</v>
      </c>
      <c r="BU211" s="4" t="str">
        <f t="shared" si="237"/>
        <v>нет</v>
      </c>
      <c r="BV211" s="4" t="str">
        <f t="shared" si="220"/>
        <v>x</v>
      </c>
      <c r="BW211" s="4" t="str">
        <f t="shared" si="220"/>
        <v>x</v>
      </c>
      <c r="BX211" s="4" t="str">
        <f t="shared" si="220"/>
        <v>x</v>
      </c>
      <c r="BY211" s="4" t="str">
        <f t="shared" si="229"/>
        <v>нет</v>
      </c>
      <c r="BZ211" s="4" t="str">
        <f t="shared" si="228"/>
        <v>x</v>
      </c>
      <c r="CA211" s="4" t="str">
        <f t="shared" si="228"/>
        <v>x</v>
      </c>
      <c r="CB211" s="4" t="str">
        <f t="shared" si="228"/>
        <v>x</v>
      </c>
      <c r="CC211" s="4" t="str">
        <f>"1938"</f>
        <v>1938</v>
      </c>
      <c r="CD211" s="4" t="str">
        <f>"45,00"</f>
        <v>45,00</v>
      </c>
      <c r="CE211" s="4" t="str">
        <f>"2016-2018"</f>
        <v>2016-2018</v>
      </c>
      <c r="CF211" s="4" t="str">
        <f>"1938"</f>
        <v>1938</v>
      </c>
      <c r="CG211" s="4" t="str">
        <f>"45,00"</f>
        <v>45,00</v>
      </c>
      <c r="CH211" s="4" t="str">
        <f>"2016-2018"</f>
        <v>2016-2018</v>
      </c>
      <c r="CI211" s="4" t="str">
        <f>"58,00"</f>
        <v>58,00</v>
      </c>
      <c r="CJ211" s="4" t="str">
        <f>"2016-2018"</f>
        <v>2016-2018</v>
      </c>
    </row>
    <row r="212" spans="1:88" ht="11.25" customHeight="1">
      <c r="A212" s="45" t="str">
        <f>"24.199"</f>
        <v>24.199</v>
      </c>
      <c r="B212" s="46" t="str">
        <f>"г. Харовск, ул.Свободы, д.8"</f>
        <v>г. Харовск, ул.Свободы, д.8</v>
      </c>
      <c r="C212" s="6" t="str">
        <f>"1942"</f>
        <v>1942</v>
      </c>
      <c r="D212" s="4" t="str">
        <f>"1942"</f>
        <v>1942</v>
      </c>
      <c r="E212" s="4" t="str">
        <f>"60,00"</f>
        <v>60,00</v>
      </c>
      <c r="F212" s="4" t="str">
        <f>"2033-2035"</f>
        <v>2033-2035</v>
      </c>
      <c r="G212" s="4" t="str">
        <f t="shared" si="211"/>
        <v>нет</v>
      </c>
      <c r="H212" s="4" t="str">
        <f>""</f>
        <v/>
      </c>
      <c r="I212" s="4" t="str">
        <f>""</f>
        <v/>
      </c>
      <c r="J212" s="4" t="str">
        <f>""</f>
        <v/>
      </c>
      <c r="K212" s="4" t="str">
        <f t="shared" si="235"/>
        <v>нет</v>
      </c>
      <c r="L212" s="4" t="str">
        <f>""</f>
        <v/>
      </c>
      <c r="M212" s="4" t="str">
        <f>""</f>
        <v/>
      </c>
      <c r="N212" s="4" t="str">
        <f>""</f>
        <v/>
      </c>
      <c r="O212" s="7" t="str">
        <f t="shared" si="239"/>
        <v>х</v>
      </c>
      <c r="P212" s="4" t="str">
        <f t="shared" si="239"/>
        <v>х</v>
      </c>
      <c r="Q212" s="4" t="str">
        <f t="shared" si="239"/>
        <v>х</v>
      </c>
      <c r="R212" s="4" t="str">
        <f t="shared" si="239"/>
        <v>х</v>
      </c>
      <c r="S212" s="4" t="str">
        <f t="shared" si="239"/>
        <v>х</v>
      </c>
      <c r="T212" s="4" t="str">
        <f t="shared" si="239"/>
        <v>х</v>
      </c>
      <c r="U212" s="4" t="str">
        <f t="shared" si="239"/>
        <v>х</v>
      </c>
      <c r="V212" s="4" t="str">
        <f t="shared" si="239"/>
        <v>х</v>
      </c>
      <c r="W212" s="4" t="str">
        <f t="shared" si="239"/>
        <v>х</v>
      </c>
      <c r="X212" s="4" t="str">
        <f t="shared" si="239"/>
        <v>х</v>
      </c>
      <c r="Y212" s="8" t="str">
        <f t="shared" si="239"/>
        <v>х</v>
      </c>
      <c r="Z212" s="4" t="str">
        <f t="shared" si="230"/>
        <v>х</v>
      </c>
      <c r="AA212" s="4" t="str">
        <f t="shared" si="230"/>
        <v>х</v>
      </c>
      <c r="AB212" s="4" t="str">
        <f t="shared" si="230"/>
        <v>х</v>
      </c>
      <c r="AC212" s="4" t="str">
        <f t="shared" si="230"/>
        <v>х</v>
      </c>
      <c r="AD212" s="4" t="str">
        <f t="shared" si="230"/>
        <v>х</v>
      </c>
      <c r="AE212" s="4" t="str">
        <f t="shared" si="230"/>
        <v>х</v>
      </c>
      <c r="AF212" s="4" t="str">
        <f t="shared" si="230"/>
        <v>х</v>
      </c>
      <c r="AG212" s="4" t="str">
        <f t="shared" si="230"/>
        <v>х</v>
      </c>
      <c r="AH212" s="4" t="str">
        <f t="shared" si="230"/>
        <v>х</v>
      </c>
      <c r="AI212" s="4" t="str">
        <f t="shared" si="230"/>
        <v>х</v>
      </c>
      <c r="AJ212" s="4" t="str">
        <f t="shared" si="230"/>
        <v>х</v>
      </c>
      <c r="AK212" s="7" t="str">
        <f t="shared" si="240"/>
        <v>х</v>
      </c>
      <c r="AL212" s="4" t="str">
        <f t="shared" si="240"/>
        <v>х</v>
      </c>
      <c r="AM212" s="4" t="str">
        <f t="shared" si="240"/>
        <v>х</v>
      </c>
      <c r="AN212" s="4" t="str">
        <f t="shared" si="240"/>
        <v>х</v>
      </c>
      <c r="AO212" s="4" t="str">
        <f t="shared" si="240"/>
        <v>х</v>
      </c>
      <c r="AP212" s="4" t="str">
        <f t="shared" si="240"/>
        <v>х</v>
      </c>
      <c r="AQ212" s="4" t="str">
        <f t="shared" si="240"/>
        <v>х</v>
      </c>
      <c r="AR212" s="4" t="str">
        <f t="shared" si="240"/>
        <v>х</v>
      </c>
      <c r="AS212" s="4" t="str">
        <f t="shared" si="240"/>
        <v>х</v>
      </c>
      <c r="AT212" s="4" t="str">
        <f t="shared" si="240"/>
        <v>х</v>
      </c>
      <c r="AU212" s="4" t="str">
        <f t="shared" si="240"/>
        <v>х</v>
      </c>
      <c r="AV212" s="4" t="str">
        <f t="shared" si="238"/>
        <v>х</v>
      </c>
      <c r="AW212" s="4" t="str">
        <f t="shared" si="238"/>
        <v>х</v>
      </c>
      <c r="AX212" s="4" t="str">
        <f t="shared" si="238"/>
        <v>х</v>
      </c>
      <c r="AY212" s="4" t="str">
        <f t="shared" si="238"/>
        <v>х</v>
      </c>
      <c r="AZ212" s="4" t="str">
        <f t="shared" si="238"/>
        <v>х</v>
      </c>
      <c r="BA212" s="4" t="str">
        <f t="shared" si="238"/>
        <v>х</v>
      </c>
      <c r="BB212" s="4" t="str">
        <f t="shared" si="238"/>
        <v>х</v>
      </c>
      <c r="BC212" s="4" t="str">
        <f t="shared" si="238"/>
        <v>х</v>
      </c>
      <c r="BD212" s="4" t="str">
        <f t="shared" si="238"/>
        <v>х</v>
      </c>
      <c r="BE212" s="4" t="str">
        <f t="shared" si="238"/>
        <v>х</v>
      </c>
      <c r="BF212" s="4" t="str">
        <f t="shared" si="238"/>
        <v>х</v>
      </c>
      <c r="BG212" s="4" t="str">
        <f t="shared" si="241"/>
        <v>х</v>
      </c>
      <c r="BH212" s="4" t="str">
        <f t="shared" si="241"/>
        <v>х</v>
      </c>
      <c r="BI212" s="4" t="str">
        <f t="shared" si="241"/>
        <v>х</v>
      </c>
      <c r="BJ212" s="4" t="str">
        <f t="shared" si="241"/>
        <v>х</v>
      </c>
      <c r="BK212" s="4" t="str">
        <f t="shared" si="241"/>
        <v>х</v>
      </c>
      <c r="BL212" s="4" t="str">
        <f t="shared" si="241"/>
        <v>х</v>
      </c>
      <c r="BM212" s="4" t="str">
        <f t="shared" si="241"/>
        <v>х</v>
      </c>
      <c r="BN212" s="4" t="str">
        <f t="shared" si="241"/>
        <v>х</v>
      </c>
      <c r="BO212" s="4" t="str">
        <f t="shared" si="241"/>
        <v>х</v>
      </c>
      <c r="BP212" s="4" t="str">
        <f t="shared" si="241"/>
        <v>х</v>
      </c>
      <c r="BQ212" s="4" t="str">
        <f t="shared" si="241"/>
        <v>х</v>
      </c>
      <c r="BR212" s="4" t="str">
        <f>"1942"</f>
        <v>1942</v>
      </c>
      <c r="BS212" s="4" t="str">
        <f>"65,00"</f>
        <v>65,00</v>
      </c>
      <c r="BT212" s="4" t="str">
        <f>"2016-2018"</f>
        <v>2016-2018</v>
      </c>
      <c r="BU212" s="4" t="str">
        <f t="shared" si="237"/>
        <v>нет</v>
      </c>
      <c r="BV212" s="4" t="str">
        <f t="shared" si="220"/>
        <v>x</v>
      </c>
      <c r="BW212" s="4" t="str">
        <f t="shared" si="220"/>
        <v>x</v>
      </c>
      <c r="BX212" s="4" t="str">
        <f t="shared" si="220"/>
        <v>x</v>
      </c>
      <c r="BY212" s="4" t="str">
        <f t="shared" si="229"/>
        <v>нет</v>
      </c>
      <c r="BZ212" s="4" t="str">
        <f t="shared" si="228"/>
        <v>x</v>
      </c>
      <c r="CA212" s="4" t="str">
        <f t="shared" si="228"/>
        <v>x</v>
      </c>
      <c r="CB212" s="4" t="str">
        <f t="shared" si="228"/>
        <v>x</v>
      </c>
      <c r="CC212" s="4" t="str">
        <f>"1942"</f>
        <v>1942</v>
      </c>
      <c r="CD212" s="4" t="str">
        <f>"75,00"</f>
        <v>75,00</v>
      </c>
      <c r="CE212" s="4" t="str">
        <f>"2033-2035"</f>
        <v>2033-2035</v>
      </c>
      <c r="CF212" s="4" t="str">
        <f>"1942"</f>
        <v>1942</v>
      </c>
      <c r="CG212" s="4" t="str">
        <f>"80,00"</f>
        <v>80,00</v>
      </c>
      <c r="CH212" s="4" t="str">
        <f>"2016-2018"</f>
        <v>2016-2018</v>
      </c>
      <c r="CI212" s="4" t="str">
        <f>"67,00"</f>
        <v>67,00</v>
      </c>
      <c r="CJ212" s="4" t="str">
        <f>"2016-2018"</f>
        <v>2016-2018</v>
      </c>
    </row>
    <row r="213" spans="1:88" ht="11.25" customHeight="1">
      <c r="A213" s="45" t="str">
        <f>"24.200"</f>
        <v>24.200</v>
      </c>
      <c r="B213" s="46" t="str">
        <f>"г. Харовск, ул.Советская, д.12"</f>
        <v>г. Харовск, ул.Советская, д.12</v>
      </c>
      <c r="C213" s="6" t="str">
        <f>"1949"</f>
        <v>1949</v>
      </c>
      <c r="D213" s="4" t="str">
        <f>"1949"</f>
        <v>1949</v>
      </c>
      <c r="E213" s="4" t="str">
        <f>"60,00"</f>
        <v>60,00</v>
      </c>
      <c r="F213" s="4" t="str">
        <f>"2016-2018"</f>
        <v>2016-2018</v>
      </c>
      <c r="G213" s="4" t="str">
        <f t="shared" si="211"/>
        <v>нет</v>
      </c>
      <c r="H213" s="4" t="str">
        <f>""</f>
        <v/>
      </c>
      <c r="I213" s="4" t="str">
        <f>""</f>
        <v/>
      </c>
      <c r="J213" s="4" t="str">
        <f>""</f>
        <v/>
      </c>
      <c r="K213" s="4" t="str">
        <f t="shared" si="235"/>
        <v>нет</v>
      </c>
      <c r="L213" s="4" t="str">
        <f>""</f>
        <v/>
      </c>
      <c r="M213" s="4" t="str">
        <f>""</f>
        <v/>
      </c>
      <c r="N213" s="4" t="str">
        <f>""</f>
        <v/>
      </c>
      <c r="O213" s="7" t="str">
        <f t="shared" si="239"/>
        <v>х</v>
      </c>
      <c r="P213" s="4" t="str">
        <f t="shared" si="239"/>
        <v>х</v>
      </c>
      <c r="Q213" s="4" t="str">
        <f t="shared" si="239"/>
        <v>х</v>
      </c>
      <c r="R213" s="4" t="str">
        <f t="shared" si="239"/>
        <v>х</v>
      </c>
      <c r="S213" s="4" t="str">
        <f t="shared" si="239"/>
        <v>х</v>
      </c>
      <c r="T213" s="4" t="str">
        <f t="shared" si="239"/>
        <v>х</v>
      </c>
      <c r="U213" s="4" t="str">
        <f t="shared" si="239"/>
        <v>х</v>
      </c>
      <c r="V213" s="4" t="str">
        <f t="shared" si="239"/>
        <v>х</v>
      </c>
      <c r="W213" s="4" t="str">
        <f t="shared" si="239"/>
        <v>х</v>
      </c>
      <c r="X213" s="4" t="str">
        <f t="shared" si="239"/>
        <v>х</v>
      </c>
      <c r="Y213" s="8" t="str">
        <f t="shared" si="239"/>
        <v>х</v>
      </c>
      <c r="Z213" s="4" t="str">
        <f t="shared" si="230"/>
        <v>х</v>
      </c>
      <c r="AA213" s="4" t="str">
        <f t="shared" si="230"/>
        <v>х</v>
      </c>
      <c r="AB213" s="4" t="str">
        <f t="shared" si="230"/>
        <v>х</v>
      </c>
      <c r="AC213" s="4" t="str">
        <f t="shared" si="230"/>
        <v>х</v>
      </c>
      <c r="AD213" s="4" t="str">
        <f t="shared" si="230"/>
        <v>х</v>
      </c>
      <c r="AE213" s="4" t="str">
        <f t="shared" si="230"/>
        <v>х</v>
      </c>
      <c r="AF213" s="4" t="str">
        <f t="shared" si="230"/>
        <v>х</v>
      </c>
      <c r="AG213" s="4" t="str">
        <f t="shared" si="230"/>
        <v>х</v>
      </c>
      <c r="AH213" s="4" t="str">
        <f t="shared" si="230"/>
        <v>х</v>
      </c>
      <c r="AI213" s="4" t="str">
        <f t="shared" si="230"/>
        <v>х</v>
      </c>
      <c r="AJ213" s="4" t="str">
        <f t="shared" si="230"/>
        <v>х</v>
      </c>
      <c r="AK213" s="7" t="str">
        <f t="shared" si="240"/>
        <v>х</v>
      </c>
      <c r="AL213" s="4" t="str">
        <f t="shared" si="240"/>
        <v>х</v>
      </c>
      <c r="AM213" s="4" t="str">
        <f t="shared" si="240"/>
        <v>х</v>
      </c>
      <c r="AN213" s="4" t="str">
        <f t="shared" si="240"/>
        <v>х</v>
      </c>
      <c r="AO213" s="4" t="str">
        <f t="shared" si="240"/>
        <v>х</v>
      </c>
      <c r="AP213" s="4" t="str">
        <f t="shared" si="240"/>
        <v>х</v>
      </c>
      <c r="AQ213" s="4" t="str">
        <f t="shared" si="240"/>
        <v>х</v>
      </c>
      <c r="AR213" s="4" t="str">
        <f t="shared" si="240"/>
        <v>х</v>
      </c>
      <c r="AS213" s="4" t="str">
        <f t="shared" si="240"/>
        <v>х</v>
      </c>
      <c r="AT213" s="4" t="str">
        <f t="shared" si="240"/>
        <v>х</v>
      </c>
      <c r="AU213" s="4" t="str">
        <f t="shared" si="240"/>
        <v>х</v>
      </c>
      <c r="AV213" s="4" t="str">
        <f t="shared" si="238"/>
        <v>х</v>
      </c>
      <c r="AW213" s="4" t="str">
        <f t="shared" si="238"/>
        <v>х</v>
      </c>
      <c r="AX213" s="4" t="str">
        <f t="shared" si="238"/>
        <v>х</v>
      </c>
      <c r="AY213" s="4" t="str">
        <f t="shared" si="238"/>
        <v>х</v>
      </c>
      <c r="AZ213" s="4" t="str">
        <f t="shared" si="238"/>
        <v>х</v>
      </c>
      <c r="BA213" s="4" t="str">
        <f t="shared" si="238"/>
        <v>х</v>
      </c>
      <c r="BB213" s="4" t="str">
        <f t="shared" si="238"/>
        <v>х</v>
      </c>
      <c r="BC213" s="4" t="str">
        <f t="shared" si="238"/>
        <v>х</v>
      </c>
      <c r="BD213" s="4" t="str">
        <f t="shared" si="238"/>
        <v>х</v>
      </c>
      <c r="BE213" s="4" t="str">
        <f t="shared" si="238"/>
        <v>х</v>
      </c>
      <c r="BF213" s="4" t="str">
        <f t="shared" si="238"/>
        <v>х</v>
      </c>
      <c r="BG213" s="4" t="str">
        <f t="shared" si="241"/>
        <v>х</v>
      </c>
      <c r="BH213" s="4" t="str">
        <f t="shared" si="241"/>
        <v>х</v>
      </c>
      <c r="BI213" s="4" t="str">
        <f t="shared" si="241"/>
        <v>х</v>
      </c>
      <c r="BJ213" s="4" t="str">
        <f t="shared" si="241"/>
        <v>х</v>
      </c>
      <c r="BK213" s="4" t="str">
        <f t="shared" si="241"/>
        <v>х</v>
      </c>
      <c r="BL213" s="4" t="str">
        <f t="shared" si="241"/>
        <v>х</v>
      </c>
      <c r="BM213" s="4" t="str">
        <f t="shared" si="241"/>
        <v>х</v>
      </c>
      <c r="BN213" s="4" t="str">
        <f t="shared" si="241"/>
        <v>х</v>
      </c>
      <c r="BO213" s="4" t="str">
        <f t="shared" si="241"/>
        <v>х</v>
      </c>
      <c r="BP213" s="4" t="str">
        <f t="shared" si="241"/>
        <v>х</v>
      </c>
      <c r="BQ213" s="4" t="str">
        <f t="shared" si="241"/>
        <v>х</v>
      </c>
      <c r="BR213" s="4" t="str">
        <f>"1949"</f>
        <v>1949</v>
      </c>
      <c r="BS213" s="4" t="str">
        <f>"65,00"</f>
        <v>65,00</v>
      </c>
      <c r="BT213" s="4" t="str">
        <f>"2016-2018"</f>
        <v>2016-2018</v>
      </c>
      <c r="BU213" s="4" t="str">
        <f t="shared" si="237"/>
        <v>нет</v>
      </c>
      <c r="BV213" s="4" t="str">
        <f t="shared" si="220"/>
        <v>x</v>
      </c>
      <c r="BW213" s="4" t="str">
        <f t="shared" si="220"/>
        <v>x</v>
      </c>
      <c r="BX213" s="4" t="str">
        <f t="shared" si="220"/>
        <v>x</v>
      </c>
      <c r="BY213" s="4" t="str">
        <f t="shared" si="229"/>
        <v>нет</v>
      </c>
      <c r="BZ213" s="4" t="str">
        <f t="shared" si="228"/>
        <v>x</v>
      </c>
      <c r="CA213" s="4" t="str">
        <f t="shared" si="228"/>
        <v>x</v>
      </c>
      <c r="CB213" s="4" t="str">
        <f t="shared" si="228"/>
        <v>x</v>
      </c>
      <c r="CC213" s="4" t="str">
        <f>"1949"</f>
        <v>1949</v>
      </c>
      <c r="CD213" s="4" t="str">
        <f>"65,00"</f>
        <v>65,00</v>
      </c>
      <c r="CE213" s="4" t="str">
        <f>"2016-2018"</f>
        <v>2016-2018</v>
      </c>
      <c r="CF213" s="4" t="str">
        <f>"1949"</f>
        <v>1949</v>
      </c>
      <c r="CG213" s="4" t="str">
        <f>"65,00"</f>
        <v>65,00</v>
      </c>
      <c r="CH213" s="4" t="str">
        <f>"2033-2035"</f>
        <v>2033-2035</v>
      </c>
      <c r="CI213" s="4" t="str">
        <f>"59,00"</f>
        <v>59,00</v>
      </c>
      <c r="CJ213" s="4" t="str">
        <f>"2016-2018"</f>
        <v>2016-2018</v>
      </c>
    </row>
    <row r="214" spans="1:88" ht="11.25" customHeight="1">
      <c r="A214" s="45" t="str">
        <f>"24.201"</f>
        <v>24.201</v>
      </c>
      <c r="B214" s="46" t="str">
        <f>"г. Харовск, ул.Советская, д.13"</f>
        <v>г. Харовск, ул.Советская, д.13</v>
      </c>
      <c r="C214" s="6" t="str">
        <f>"1964"</f>
        <v>1964</v>
      </c>
      <c r="D214" s="4" t="str">
        <f>"1964"</f>
        <v>1964</v>
      </c>
      <c r="E214" s="4" t="str">
        <f>"50,00"</f>
        <v>50,00</v>
      </c>
      <c r="F214" s="4" t="str">
        <f>"2021-2023"</f>
        <v>2021-2023</v>
      </c>
      <c r="G214" s="4" t="str">
        <f t="shared" si="211"/>
        <v>нет</v>
      </c>
      <c r="H214" s="4" t="str">
        <f>""</f>
        <v/>
      </c>
      <c r="I214" s="4" t="str">
        <f>""</f>
        <v/>
      </c>
      <c r="J214" s="4" t="str">
        <f>""</f>
        <v/>
      </c>
      <c r="K214" s="4" t="str">
        <f t="shared" si="235"/>
        <v>нет</v>
      </c>
      <c r="L214" s="4" t="str">
        <f>""</f>
        <v/>
      </c>
      <c r="M214" s="4" t="str">
        <f>""</f>
        <v/>
      </c>
      <c r="N214" s="4" t="str">
        <f>""</f>
        <v/>
      </c>
      <c r="O214" s="7" t="str">
        <f>"х"</f>
        <v>х</v>
      </c>
      <c r="P214" s="4" t="str">
        <f>"х"</f>
        <v>х</v>
      </c>
      <c r="Q214" s="4" t="str">
        <f>"2021-2023"</f>
        <v>2021-2023</v>
      </c>
      <c r="R214" s="4" t="str">
        <f>"х"</f>
        <v>х</v>
      </c>
      <c r="S214" s="4" t="str">
        <f>"х"</f>
        <v>х</v>
      </c>
      <c r="T214" s="4" t="str">
        <f>"х"</f>
        <v>х</v>
      </c>
      <c r="U214" s="4" t="str">
        <f>"2021-2023"</f>
        <v>2021-2023</v>
      </c>
      <c r="V214" s="4" t="str">
        <f>"х"</f>
        <v>х</v>
      </c>
      <c r="W214" s="4" t="str">
        <f>"х"</f>
        <v>х</v>
      </c>
      <c r="X214" s="4" t="str">
        <f>"х"</f>
        <v>х</v>
      </c>
      <c r="Y214" s="8" t="str">
        <f>"х"</f>
        <v>х</v>
      </c>
      <c r="Z214" s="4" t="str">
        <f t="shared" ref="Z214:AJ224" si="242">"х"</f>
        <v>х</v>
      </c>
      <c r="AA214" s="4" t="str">
        <f t="shared" si="242"/>
        <v>х</v>
      </c>
      <c r="AB214" s="4" t="str">
        <f t="shared" si="242"/>
        <v>х</v>
      </c>
      <c r="AC214" s="4" t="str">
        <f t="shared" si="242"/>
        <v>х</v>
      </c>
      <c r="AD214" s="4" t="str">
        <f t="shared" si="242"/>
        <v>х</v>
      </c>
      <c r="AE214" s="4" t="str">
        <f t="shared" si="242"/>
        <v>х</v>
      </c>
      <c r="AF214" s="4" t="str">
        <f t="shared" si="242"/>
        <v>х</v>
      </c>
      <c r="AG214" s="4" t="str">
        <f t="shared" si="242"/>
        <v>х</v>
      </c>
      <c r="AH214" s="4" t="str">
        <f t="shared" si="242"/>
        <v>х</v>
      </c>
      <c r="AI214" s="4" t="str">
        <f t="shared" si="242"/>
        <v>х</v>
      </c>
      <c r="AJ214" s="4" t="str">
        <f t="shared" si="242"/>
        <v>х</v>
      </c>
      <c r="AK214" s="7" t="str">
        <f>"2013"</f>
        <v>2013</v>
      </c>
      <c r="AL214" s="4" t="str">
        <f>"0,00"</f>
        <v>0,00</v>
      </c>
      <c r="AM214" s="4" t="str">
        <f>"2040-2042"</f>
        <v>2040-2042</v>
      </c>
      <c r="AN214" s="4" t="str">
        <f t="shared" ref="AN214:AU214" si="243">"х"</f>
        <v>х</v>
      </c>
      <c r="AO214" s="4" t="str">
        <f t="shared" si="243"/>
        <v>х</v>
      </c>
      <c r="AP214" s="4" t="str">
        <f t="shared" si="243"/>
        <v>х</v>
      </c>
      <c r="AQ214" s="4" t="str">
        <f t="shared" si="243"/>
        <v>х</v>
      </c>
      <c r="AR214" s="4" t="str">
        <f t="shared" si="243"/>
        <v>х</v>
      </c>
      <c r="AS214" s="4" t="str">
        <f t="shared" si="243"/>
        <v>х</v>
      </c>
      <c r="AT214" s="4" t="str">
        <f t="shared" si="243"/>
        <v>х</v>
      </c>
      <c r="AU214" s="4" t="str">
        <f t="shared" si="243"/>
        <v>х</v>
      </c>
      <c r="AV214" s="4" t="str">
        <f t="shared" si="238"/>
        <v>х</v>
      </c>
      <c r="AW214" s="4" t="str">
        <f t="shared" si="238"/>
        <v>х</v>
      </c>
      <c r="AX214" s="4" t="str">
        <f t="shared" si="238"/>
        <v>х</v>
      </c>
      <c r="AY214" s="4" t="str">
        <f t="shared" si="238"/>
        <v>х</v>
      </c>
      <c r="AZ214" s="4" t="str">
        <f t="shared" si="238"/>
        <v>х</v>
      </c>
      <c r="BA214" s="4" t="str">
        <f t="shared" si="238"/>
        <v>х</v>
      </c>
      <c r="BB214" s="4" t="str">
        <f t="shared" si="238"/>
        <v>х</v>
      </c>
      <c r="BC214" s="4" t="str">
        <f t="shared" si="238"/>
        <v>х</v>
      </c>
      <c r="BD214" s="4" t="str">
        <f t="shared" si="238"/>
        <v>х</v>
      </c>
      <c r="BE214" s="4" t="str">
        <f t="shared" si="238"/>
        <v>х</v>
      </c>
      <c r="BF214" s="4" t="str">
        <f t="shared" si="238"/>
        <v>х</v>
      </c>
      <c r="BG214" s="4" t="str">
        <f>"2013"</f>
        <v>2013</v>
      </c>
      <c r="BH214" s="4" t="str">
        <f>"0,00"</f>
        <v>0,00</v>
      </c>
      <c r="BI214" s="4" t="str">
        <f>"2040-2042"</f>
        <v>2040-2042</v>
      </c>
      <c r="BJ214" s="4" t="str">
        <f t="shared" ref="BJ214:BQ214" si="244">"х"</f>
        <v>х</v>
      </c>
      <c r="BK214" s="4" t="str">
        <f t="shared" si="244"/>
        <v>х</v>
      </c>
      <c r="BL214" s="4" t="str">
        <f t="shared" si="244"/>
        <v>х</v>
      </c>
      <c r="BM214" s="4" t="str">
        <f t="shared" si="244"/>
        <v>х</v>
      </c>
      <c r="BN214" s="4" t="str">
        <f t="shared" si="244"/>
        <v>х</v>
      </c>
      <c r="BO214" s="4" t="str">
        <f t="shared" si="244"/>
        <v>х</v>
      </c>
      <c r="BP214" s="4" t="str">
        <f t="shared" si="244"/>
        <v>х</v>
      </c>
      <c r="BQ214" s="4" t="str">
        <f t="shared" si="244"/>
        <v>х</v>
      </c>
      <c r="BR214" s="4" t="str">
        <f>"1964"</f>
        <v>1964</v>
      </c>
      <c r="BS214" s="4" t="str">
        <f>"50,00"</f>
        <v>50,00</v>
      </c>
      <c r="BT214" s="4" t="str">
        <f>"2021-2023"</f>
        <v>2021-2023</v>
      </c>
      <c r="BU214" s="4" t="str">
        <f t="shared" si="237"/>
        <v>нет</v>
      </c>
      <c r="BV214" s="4" t="str">
        <f t="shared" ref="BV214:BX233" si="245">"x"</f>
        <v>x</v>
      </c>
      <c r="BW214" s="4" t="str">
        <f t="shared" si="245"/>
        <v>x</v>
      </c>
      <c r="BX214" s="4" t="str">
        <f t="shared" si="245"/>
        <v>x</v>
      </c>
      <c r="BY214" s="4" t="str">
        <f t="shared" si="229"/>
        <v>нет</v>
      </c>
      <c r="BZ214" s="4" t="str">
        <f t="shared" si="228"/>
        <v>x</v>
      </c>
      <c r="CA214" s="4" t="str">
        <f t="shared" si="228"/>
        <v>x</v>
      </c>
      <c r="CB214" s="4" t="str">
        <f t="shared" si="228"/>
        <v>x</v>
      </c>
      <c r="CC214" s="4" t="str">
        <f>"1964"</f>
        <v>1964</v>
      </c>
      <c r="CD214" s="4" t="str">
        <f>"45,00"</f>
        <v>45,00</v>
      </c>
      <c r="CE214" s="4" t="str">
        <f>"2021-2023"</f>
        <v>2021-2023</v>
      </c>
      <c r="CF214" s="4" t="str">
        <f>"1964"</f>
        <v>1964</v>
      </c>
      <c r="CG214" s="4" t="str">
        <f>"40,00"</f>
        <v>40,00</v>
      </c>
      <c r="CH214" s="4" t="str">
        <f>"2040-2042"</f>
        <v>2040-2042</v>
      </c>
      <c r="CI214" s="4" t="str">
        <f>"47,00"</f>
        <v>47,00</v>
      </c>
      <c r="CJ214" s="4" t="str">
        <f>"2021-2023"</f>
        <v>2021-2023</v>
      </c>
    </row>
    <row r="215" spans="1:88" ht="11.25" customHeight="1">
      <c r="A215" s="45" t="str">
        <f>"24.202"</f>
        <v>24.202</v>
      </c>
      <c r="B215" s="46" t="str">
        <f>"г. Харовск, ул.Советская, д.17"</f>
        <v>г. Харовск, ул.Советская, д.17</v>
      </c>
      <c r="C215" s="6" t="str">
        <f>"1996"</f>
        <v>1996</v>
      </c>
      <c r="D215" s="4" t="str">
        <f>"1996"</f>
        <v>1996</v>
      </c>
      <c r="E215" s="4" t="str">
        <f>"25,00"</f>
        <v>25,00</v>
      </c>
      <c r="F215" s="4" t="str">
        <f>"2036-2038"</f>
        <v>2036-2038</v>
      </c>
      <c r="G215" s="4" t="str">
        <f t="shared" si="211"/>
        <v>нет</v>
      </c>
      <c r="H215" s="4" t="str">
        <f>""</f>
        <v/>
      </c>
      <c r="I215" s="4" t="str">
        <f>""</f>
        <v/>
      </c>
      <c r="J215" s="4" t="str">
        <f>""</f>
        <v/>
      </c>
      <c r="K215" s="4" t="str">
        <f t="shared" si="235"/>
        <v>нет</v>
      </c>
      <c r="L215" s="4" t="str">
        <f>""</f>
        <v/>
      </c>
      <c r="M215" s="4" t="str">
        <f>""</f>
        <v/>
      </c>
      <c r="N215" s="4" t="str">
        <f>""</f>
        <v/>
      </c>
      <c r="O215" s="7" t="str">
        <f>"1996"</f>
        <v>1996</v>
      </c>
      <c r="P215" s="4" t="str">
        <f>"25,00"</f>
        <v>25,00</v>
      </c>
      <c r="Q215" s="4" t="str">
        <f>"2036-2038"</f>
        <v>2036-2038</v>
      </c>
      <c r="R215" s="4" t="str">
        <f>"да"</f>
        <v>да</v>
      </c>
      <c r="S215" s="4" t="str">
        <f>"2011"</f>
        <v>2011</v>
      </c>
      <c r="T215" s="4" t="str">
        <f>"50,00"</f>
        <v>50,00</v>
      </c>
      <c r="U215" s="4" t="str">
        <f>"2036-2038"</f>
        <v>2036-2038</v>
      </c>
      <c r="V215" s="4" t="str">
        <f>"нет"</f>
        <v>нет</v>
      </c>
      <c r="W215" s="4" t="str">
        <f>""</f>
        <v/>
      </c>
      <c r="X215" s="4" t="str">
        <f>""</f>
        <v/>
      </c>
      <c r="Y215" s="8" t="str">
        <f>""</f>
        <v/>
      </c>
      <c r="Z215" s="4" t="str">
        <f t="shared" si="242"/>
        <v>х</v>
      </c>
      <c r="AA215" s="4" t="str">
        <f t="shared" si="242"/>
        <v>х</v>
      </c>
      <c r="AB215" s="4" t="str">
        <f t="shared" si="242"/>
        <v>х</v>
      </c>
      <c r="AC215" s="4" t="str">
        <f t="shared" si="242"/>
        <v>х</v>
      </c>
      <c r="AD215" s="4" t="str">
        <f t="shared" si="242"/>
        <v>х</v>
      </c>
      <c r="AE215" s="4" t="str">
        <f t="shared" si="242"/>
        <v>х</v>
      </c>
      <c r="AF215" s="4" t="str">
        <f t="shared" si="242"/>
        <v>х</v>
      </c>
      <c r="AG215" s="4" t="str">
        <f t="shared" si="242"/>
        <v>х</v>
      </c>
      <c r="AH215" s="4" t="str">
        <f t="shared" si="242"/>
        <v>х</v>
      </c>
      <c r="AI215" s="4" t="str">
        <f t="shared" si="242"/>
        <v>х</v>
      </c>
      <c r="AJ215" s="4" t="str">
        <f t="shared" si="242"/>
        <v>х</v>
      </c>
      <c r="AK215" s="7" t="str">
        <f>"1996"</f>
        <v>1996</v>
      </c>
      <c r="AL215" s="4" t="str">
        <f>"25,00"</f>
        <v>25,00</v>
      </c>
      <c r="AM215" s="4" t="str">
        <f>"2036-2038"</f>
        <v>2036-2038</v>
      </c>
      <c r="AN215" s="4" t="str">
        <f>"нет"</f>
        <v>нет</v>
      </c>
      <c r="AO215" s="4" t="str">
        <f>""</f>
        <v/>
      </c>
      <c r="AP215" s="4" t="str">
        <f>""</f>
        <v/>
      </c>
      <c r="AQ215" s="4" t="str">
        <f>""</f>
        <v/>
      </c>
      <c r="AR215" s="4" t="str">
        <f>"нет"</f>
        <v>нет</v>
      </c>
      <c r="AS215" s="4" t="str">
        <f>""</f>
        <v/>
      </c>
      <c r="AT215" s="4" t="str">
        <f>""</f>
        <v/>
      </c>
      <c r="AU215" s="4" t="str">
        <f>""</f>
        <v/>
      </c>
      <c r="AV215" s="4" t="str">
        <f>"1996"</f>
        <v>1996</v>
      </c>
      <c r="AW215" s="4" t="str">
        <f>"25,00"</f>
        <v>25,00</v>
      </c>
      <c r="AX215" s="4" t="str">
        <f>"2036-2038"</f>
        <v>2036-2038</v>
      </c>
      <c r="AY215" s="4" t="str">
        <f>"нет"</f>
        <v>нет</v>
      </c>
      <c r="AZ215" s="4" t="str">
        <f>""</f>
        <v/>
      </c>
      <c r="BA215" s="4" t="str">
        <f>""</f>
        <v/>
      </c>
      <c r="BB215" s="4" t="str">
        <f>""</f>
        <v/>
      </c>
      <c r="BC215" s="4" t="str">
        <f>"нет"</f>
        <v>нет</v>
      </c>
      <c r="BD215" s="4" t="str">
        <f>""</f>
        <v/>
      </c>
      <c r="BE215" s="4" t="str">
        <f>""</f>
        <v/>
      </c>
      <c r="BF215" s="4" t="str">
        <f>""</f>
        <v/>
      </c>
      <c r="BG215" s="4" t="str">
        <f>"1996"</f>
        <v>1996</v>
      </c>
      <c r="BH215" s="4" t="str">
        <f>"25,00"</f>
        <v>25,00</v>
      </c>
      <c r="BI215" s="4" t="str">
        <f>"2036-2038"</f>
        <v>2036-2038</v>
      </c>
      <c r="BJ215" s="4" t="str">
        <f>"нет"</f>
        <v>нет</v>
      </c>
      <c r="BK215" s="4" t="str">
        <f>""</f>
        <v/>
      </c>
      <c r="BL215" s="4" t="str">
        <f>""</f>
        <v/>
      </c>
      <c r="BM215" s="4" t="str">
        <f>""</f>
        <v/>
      </c>
      <c r="BN215" s="4" t="str">
        <f>"нет"</f>
        <v>нет</v>
      </c>
      <c r="BO215" s="4" t="str">
        <f>""</f>
        <v/>
      </c>
      <c r="BP215" s="4" t="str">
        <f>""</f>
        <v/>
      </c>
      <c r="BQ215" s="4" t="str">
        <f>""</f>
        <v/>
      </c>
      <c r="BR215" s="4" t="str">
        <f>"1996"</f>
        <v>1996</v>
      </c>
      <c r="BS215" s="4" t="str">
        <f>"35,00"</f>
        <v>35,00</v>
      </c>
      <c r="BT215" s="4" t="str">
        <f>"2036-2038"</f>
        <v>2036-2038</v>
      </c>
      <c r="BU215" s="4" t="str">
        <f t="shared" si="237"/>
        <v>нет</v>
      </c>
      <c r="BV215" s="4" t="str">
        <f t="shared" si="245"/>
        <v>x</v>
      </c>
      <c r="BW215" s="4" t="str">
        <f t="shared" si="245"/>
        <v>x</v>
      </c>
      <c r="BX215" s="4" t="str">
        <f t="shared" si="245"/>
        <v>x</v>
      </c>
      <c r="BY215" s="4" t="str">
        <f t="shared" si="229"/>
        <v>нет</v>
      </c>
      <c r="BZ215" s="4" t="str">
        <f t="shared" si="228"/>
        <v>x</v>
      </c>
      <c r="CA215" s="4" t="str">
        <f t="shared" si="228"/>
        <v>x</v>
      </c>
      <c r="CB215" s="4" t="str">
        <f t="shared" si="228"/>
        <v>x</v>
      </c>
      <c r="CC215" s="4" t="str">
        <f>"1996"</f>
        <v>1996</v>
      </c>
      <c r="CD215" s="4" t="str">
        <f>"15,00"</f>
        <v>15,00</v>
      </c>
      <c r="CE215" s="4" t="str">
        <f>"2036-2038"</f>
        <v>2036-2038</v>
      </c>
      <c r="CF215" s="4" t="str">
        <f>"1996"</f>
        <v>1996</v>
      </c>
      <c r="CG215" s="4" t="str">
        <f>"15,00"</f>
        <v>15,00</v>
      </c>
      <c r="CH215" s="4" t="str">
        <f>"2036-2038"</f>
        <v>2036-2038</v>
      </c>
      <c r="CI215" s="4" t="str">
        <f>"20,00"</f>
        <v>20,00</v>
      </c>
      <c r="CJ215" s="4" t="str">
        <f>"2036-2038"</f>
        <v>2036-2038</v>
      </c>
    </row>
    <row r="216" spans="1:88" ht="11.25" customHeight="1">
      <c r="A216" s="45" t="str">
        <f>"24.203"</f>
        <v>24.203</v>
      </c>
      <c r="B216" s="46" t="str">
        <f>"г. Харовск, ул.Советская, д.2"</f>
        <v>г. Харовск, ул.Советская, д.2</v>
      </c>
      <c r="C216" s="6" t="str">
        <f>"1961"</f>
        <v>1961</v>
      </c>
      <c r="D216" s="4" t="str">
        <f>"1961"</f>
        <v>1961</v>
      </c>
      <c r="E216" s="4" t="str">
        <f>"65,00"</f>
        <v>65,00</v>
      </c>
      <c r="F216" s="4" t="str">
        <f>"2020-2022"</f>
        <v>2020-2022</v>
      </c>
      <c r="G216" s="4" t="str">
        <f t="shared" si="211"/>
        <v>нет</v>
      </c>
      <c r="H216" s="4" t="str">
        <f>""</f>
        <v/>
      </c>
      <c r="I216" s="4" t="str">
        <f>""</f>
        <v/>
      </c>
      <c r="J216" s="4" t="str">
        <f>""</f>
        <v/>
      </c>
      <c r="K216" s="4" t="str">
        <f t="shared" si="235"/>
        <v>нет</v>
      </c>
      <c r="L216" s="4" t="str">
        <f>""</f>
        <v/>
      </c>
      <c r="M216" s="4" t="str">
        <f>""</f>
        <v/>
      </c>
      <c r="N216" s="4" t="str">
        <f>""</f>
        <v/>
      </c>
      <c r="O216" s="7" t="str">
        <f t="shared" ref="O216:Y219" si="246">"х"</f>
        <v>х</v>
      </c>
      <c r="P216" s="4" t="str">
        <f t="shared" si="246"/>
        <v>х</v>
      </c>
      <c r="Q216" s="4" t="str">
        <f t="shared" si="246"/>
        <v>х</v>
      </c>
      <c r="R216" s="4" t="str">
        <f t="shared" si="246"/>
        <v>х</v>
      </c>
      <c r="S216" s="4" t="str">
        <f t="shared" si="246"/>
        <v>х</v>
      </c>
      <c r="T216" s="4" t="str">
        <f t="shared" si="246"/>
        <v>х</v>
      </c>
      <c r="U216" s="4" t="str">
        <f t="shared" si="246"/>
        <v>х</v>
      </c>
      <c r="V216" s="4" t="str">
        <f t="shared" si="246"/>
        <v>х</v>
      </c>
      <c r="W216" s="4" t="str">
        <f t="shared" si="246"/>
        <v>х</v>
      </c>
      <c r="X216" s="4" t="str">
        <f t="shared" si="246"/>
        <v>х</v>
      </c>
      <c r="Y216" s="8" t="str">
        <f t="shared" si="246"/>
        <v>х</v>
      </c>
      <c r="Z216" s="4" t="str">
        <f t="shared" si="242"/>
        <v>х</v>
      </c>
      <c r="AA216" s="4" t="str">
        <f t="shared" si="242"/>
        <v>х</v>
      </c>
      <c r="AB216" s="4" t="str">
        <f t="shared" si="242"/>
        <v>х</v>
      </c>
      <c r="AC216" s="4" t="str">
        <f t="shared" si="242"/>
        <v>х</v>
      </c>
      <c r="AD216" s="4" t="str">
        <f t="shared" si="242"/>
        <v>х</v>
      </c>
      <c r="AE216" s="4" t="str">
        <f t="shared" si="242"/>
        <v>х</v>
      </c>
      <c r="AF216" s="4" t="str">
        <f t="shared" si="242"/>
        <v>х</v>
      </c>
      <c r="AG216" s="4" t="str">
        <f t="shared" si="242"/>
        <v>х</v>
      </c>
      <c r="AH216" s="4" t="str">
        <f t="shared" si="242"/>
        <v>х</v>
      </c>
      <c r="AI216" s="4" t="str">
        <f t="shared" si="242"/>
        <v>х</v>
      </c>
      <c r="AJ216" s="4" t="str">
        <f t="shared" si="242"/>
        <v>х</v>
      </c>
      <c r="AK216" s="7" t="str">
        <f t="shared" ref="AK216:AT224" si="247">"х"</f>
        <v>х</v>
      </c>
      <c r="AL216" s="4" t="str">
        <f t="shared" si="247"/>
        <v>х</v>
      </c>
      <c r="AM216" s="4" t="str">
        <f t="shared" si="247"/>
        <v>х</v>
      </c>
      <c r="AN216" s="4" t="str">
        <f t="shared" si="247"/>
        <v>х</v>
      </c>
      <c r="AO216" s="4" t="str">
        <f t="shared" si="247"/>
        <v>х</v>
      </c>
      <c r="AP216" s="4" t="str">
        <f t="shared" si="247"/>
        <v>х</v>
      </c>
      <c r="AQ216" s="4" t="str">
        <f t="shared" si="247"/>
        <v>х</v>
      </c>
      <c r="AR216" s="4" t="str">
        <f t="shared" si="247"/>
        <v>х</v>
      </c>
      <c r="AS216" s="4" t="str">
        <f t="shared" si="247"/>
        <v>х</v>
      </c>
      <c r="AT216" s="4" t="str">
        <f t="shared" si="247"/>
        <v>х</v>
      </c>
      <c r="AU216" s="4" t="str">
        <f t="shared" ref="AU216:BD224" si="248">"х"</f>
        <v>х</v>
      </c>
      <c r="AV216" s="4" t="str">
        <f t="shared" si="248"/>
        <v>х</v>
      </c>
      <c r="AW216" s="4" t="str">
        <f t="shared" si="248"/>
        <v>х</v>
      </c>
      <c r="AX216" s="4" t="str">
        <f t="shared" si="248"/>
        <v>х</v>
      </c>
      <c r="AY216" s="4" t="str">
        <f t="shared" si="248"/>
        <v>х</v>
      </c>
      <c r="AZ216" s="4" t="str">
        <f t="shared" si="248"/>
        <v>х</v>
      </c>
      <c r="BA216" s="4" t="str">
        <f t="shared" si="248"/>
        <v>х</v>
      </c>
      <c r="BB216" s="4" t="str">
        <f t="shared" si="248"/>
        <v>х</v>
      </c>
      <c r="BC216" s="4" t="str">
        <f t="shared" si="248"/>
        <v>х</v>
      </c>
      <c r="BD216" s="4" t="str">
        <f t="shared" si="248"/>
        <v>х</v>
      </c>
      <c r="BE216" s="4" t="str">
        <f t="shared" ref="BE216:BQ224" si="249">"х"</f>
        <v>х</v>
      </c>
      <c r="BF216" s="4" t="str">
        <f t="shared" si="249"/>
        <v>х</v>
      </c>
      <c r="BG216" s="4" t="str">
        <f t="shared" si="249"/>
        <v>х</v>
      </c>
      <c r="BH216" s="4" t="str">
        <f t="shared" si="249"/>
        <v>х</v>
      </c>
      <c r="BI216" s="4" t="str">
        <f t="shared" si="249"/>
        <v>х</v>
      </c>
      <c r="BJ216" s="4" t="str">
        <f t="shared" si="249"/>
        <v>х</v>
      </c>
      <c r="BK216" s="4" t="str">
        <f t="shared" si="249"/>
        <v>х</v>
      </c>
      <c r="BL216" s="4" t="str">
        <f t="shared" si="249"/>
        <v>х</v>
      </c>
      <c r="BM216" s="4" t="str">
        <f t="shared" si="249"/>
        <v>х</v>
      </c>
      <c r="BN216" s="4" t="str">
        <f t="shared" si="249"/>
        <v>х</v>
      </c>
      <c r="BO216" s="4" t="str">
        <f t="shared" si="249"/>
        <v>х</v>
      </c>
      <c r="BP216" s="4" t="str">
        <f t="shared" si="249"/>
        <v>х</v>
      </c>
      <c r="BQ216" s="4" t="str">
        <f t="shared" si="249"/>
        <v>х</v>
      </c>
      <c r="BR216" s="4" t="str">
        <f>"1961"</f>
        <v>1961</v>
      </c>
      <c r="BS216" s="4" t="str">
        <f>"65,00"</f>
        <v>65,00</v>
      </c>
      <c r="BT216" s="4" t="str">
        <f>"2030-2032"</f>
        <v>2030-2032</v>
      </c>
      <c r="BU216" s="4" t="str">
        <f t="shared" si="237"/>
        <v>нет</v>
      </c>
      <c r="BV216" s="4" t="str">
        <f t="shared" si="245"/>
        <v>x</v>
      </c>
      <c r="BW216" s="4" t="str">
        <f t="shared" si="245"/>
        <v>x</v>
      </c>
      <c r="BX216" s="4" t="str">
        <f t="shared" si="245"/>
        <v>x</v>
      </c>
      <c r="BY216" s="4" t="str">
        <f t="shared" si="229"/>
        <v>нет</v>
      </c>
      <c r="BZ216" s="4" t="str">
        <f t="shared" si="228"/>
        <v>x</v>
      </c>
      <c r="CA216" s="4" t="str">
        <f t="shared" si="228"/>
        <v>x</v>
      </c>
      <c r="CB216" s="4" t="str">
        <f t="shared" si="228"/>
        <v>x</v>
      </c>
      <c r="CC216" s="4" t="str">
        <f>"1961"</f>
        <v>1961</v>
      </c>
      <c r="CD216" s="4" t="str">
        <f>"65,00"</f>
        <v>65,00</v>
      </c>
      <c r="CE216" s="4" t="str">
        <f>"2020-2022"</f>
        <v>2020-2022</v>
      </c>
      <c r="CF216" s="4" t="str">
        <f>"1961"</f>
        <v>1961</v>
      </c>
      <c r="CG216" s="4" t="str">
        <f>"80,00"</f>
        <v>80,00</v>
      </c>
      <c r="CH216" s="4" t="str">
        <f>"2020-2022"</f>
        <v>2020-2022</v>
      </c>
      <c r="CI216" s="4" t="str">
        <f>"65,00"</f>
        <v>65,00</v>
      </c>
      <c r="CJ216" s="4" t="str">
        <f>"2020-2022"</f>
        <v>2020-2022</v>
      </c>
    </row>
    <row r="217" spans="1:88" ht="11.25" customHeight="1">
      <c r="A217" s="45" t="str">
        <f>"24.204"</f>
        <v>24.204</v>
      </c>
      <c r="B217" s="46" t="str">
        <f>"г. Харовск, ул.Сосновая, д.1"</f>
        <v>г. Харовск, ул.Сосновая, д.1</v>
      </c>
      <c r="C217" s="6" t="str">
        <f>"1971"</f>
        <v>1971</v>
      </c>
      <c r="D217" s="4" t="str">
        <f>"1971"</f>
        <v>1971</v>
      </c>
      <c r="E217" s="4" t="str">
        <f>"50,00"</f>
        <v>50,00</v>
      </c>
      <c r="F217" s="4" t="str">
        <f>"2024-2026"</f>
        <v>2024-2026</v>
      </c>
      <c r="G217" s="4" t="str">
        <f t="shared" si="211"/>
        <v>нет</v>
      </c>
      <c r="H217" s="4" t="str">
        <f>""</f>
        <v/>
      </c>
      <c r="I217" s="4" t="str">
        <f>""</f>
        <v/>
      </c>
      <c r="J217" s="4" t="str">
        <f>""</f>
        <v/>
      </c>
      <c r="K217" s="4" t="str">
        <f t="shared" si="235"/>
        <v>нет</v>
      </c>
      <c r="L217" s="4" t="str">
        <f>""</f>
        <v/>
      </c>
      <c r="M217" s="4" t="str">
        <f>""</f>
        <v/>
      </c>
      <c r="N217" s="4" t="str">
        <f>""</f>
        <v/>
      </c>
      <c r="O217" s="7" t="str">
        <f t="shared" si="246"/>
        <v>х</v>
      </c>
      <c r="P217" s="4" t="str">
        <f t="shared" si="246"/>
        <v>х</v>
      </c>
      <c r="Q217" s="4" t="str">
        <f t="shared" si="246"/>
        <v>х</v>
      </c>
      <c r="R217" s="4" t="str">
        <f t="shared" si="246"/>
        <v>х</v>
      </c>
      <c r="S217" s="4" t="str">
        <f t="shared" si="246"/>
        <v>х</v>
      </c>
      <c r="T217" s="4" t="str">
        <f t="shared" si="246"/>
        <v>х</v>
      </c>
      <c r="U217" s="4" t="str">
        <f t="shared" si="246"/>
        <v>х</v>
      </c>
      <c r="V217" s="4" t="str">
        <f t="shared" si="246"/>
        <v>х</v>
      </c>
      <c r="W217" s="4" t="str">
        <f t="shared" si="246"/>
        <v>х</v>
      </c>
      <c r="X217" s="4" t="str">
        <f t="shared" si="246"/>
        <v>х</v>
      </c>
      <c r="Y217" s="8" t="str">
        <f t="shared" si="246"/>
        <v>х</v>
      </c>
      <c r="Z217" s="4" t="str">
        <f t="shared" si="242"/>
        <v>х</v>
      </c>
      <c r="AA217" s="4" t="str">
        <f t="shared" si="242"/>
        <v>х</v>
      </c>
      <c r="AB217" s="4" t="str">
        <f t="shared" si="242"/>
        <v>х</v>
      </c>
      <c r="AC217" s="4" t="str">
        <f t="shared" si="242"/>
        <v>х</v>
      </c>
      <c r="AD217" s="4" t="str">
        <f t="shared" si="242"/>
        <v>х</v>
      </c>
      <c r="AE217" s="4" t="str">
        <f t="shared" si="242"/>
        <v>х</v>
      </c>
      <c r="AF217" s="4" t="str">
        <f t="shared" si="242"/>
        <v>х</v>
      </c>
      <c r="AG217" s="4" t="str">
        <f t="shared" si="242"/>
        <v>х</v>
      </c>
      <c r="AH217" s="4" t="str">
        <f t="shared" si="242"/>
        <v>х</v>
      </c>
      <c r="AI217" s="4" t="str">
        <f t="shared" si="242"/>
        <v>х</v>
      </c>
      <c r="AJ217" s="4" t="str">
        <f t="shared" si="242"/>
        <v>х</v>
      </c>
      <c r="AK217" s="7" t="str">
        <f t="shared" si="247"/>
        <v>х</v>
      </c>
      <c r="AL217" s="4" t="str">
        <f t="shared" si="247"/>
        <v>х</v>
      </c>
      <c r="AM217" s="4" t="str">
        <f t="shared" si="247"/>
        <v>х</v>
      </c>
      <c r="AN217" s="4" t="str">
        <f t="shared" si="247"/>
        <v>х</v>
      </c>
      <c r="AO217" s="4" t="str">
        <f t="shared" si="247"/>
        <v>х</v>
      </c>
      <c r="AP217" s="4" t="str">
        <f t="shared" si="247"/>
        <v>х</v>
      </c>
      <c r="AQ217" s="4" t="str">
        <f t="shared" si="247"/>
        <v>х</v>
      </c>
      <c r="AR217" s="4" t="str">
        <f t="shared" si="247"/>
        <v>х</v>
      </c>
      <c r="AS217" s="4" t="str">
        <f t="shared" si="247"/>
        <v>х</v>
      </c>
      <c r="AT217" s="4" t="str">
        <f t="shared" si="247"/>
        <v>х</v>
      </c>
      <c r="AU217" s="4" t="str">
        <f t="shared" si="248"/>
        <v>х</v>
      </c>
      <c r="AV217" s="4" t="str">
        <f t="shared" si="248"/>
        <v>х</v>
      </c>
      <c r="AW217" s="4" t="str">
        <f t="shared" si="248"/>
        <v>х</v>
      </c>
      <c r="AX217" s="4" t="str">
        <f t="shared" si="248"/>
        <v>х</v>
      </c>
      <c r="AY217" s="4" t="str">
        <f t="shared" si="248"/>
        <v>х</v>
      </c>
      <c r="AZ217" s="4" t="str">
        <f t="shared" si="248"/>
        <v>х</v>
      </c>
      <c r="BA217" s="4" t="str">
        <f t="shared" si="248"/>
        <v>х</v>
      </c>
      <c r="BB217" s="4" t="str">
        <f t="shared" si="248"/>
        <v>х</v>
      </c>
      <c r="BC217" s="4" t="str">
        <f t="shared" si="248"/>
        <v>х</v>
      </c>
      <c r="BD217" s="4" t="str">
        <f t="shared" si="248"/>
        <v>х</v>
      </c>
      <c r="BE217" s="4" t="str">
        <f t="shared" si="249"/>
        <v>х</v>
      </c>
      <c r="BF217" s="4" t="str">
        <f t="shared" si="249"/>
        <v>х</v>
      </c>
      <c r="BG217" s="4" t="str">
        <f t="shared" si="249"/>
        <v>х</v>
      </c>
      <c r="BH217" s="4" t="str">
        <f t="shared" si="249"/>
        <v>х</v>
      </c>
      <c r="BI217" s="4" t="str">
        <f t="shared" si="249"/>
        <v>х</v>
      </c>
      <c r="BJ217" s="4" t="str">
        <f t="shared" si="249"/>
        <v>х</v>
      </c>
      <c r="BK217" s="4" t="str">
        <f t="shared" si="249"/>
        <v>х</v>
      </c>
      <c r="BL217" s="4" t="str">
        <f t="shared" si="249"/>
        <v>х</v>
      </c>
      <c r="BM217" s="4" t="str">
        <f t="shared" si="249"/>
        <v>х</v>
      </c>
      <c r="BN217" s="4" t="str">
        <f t="shared" si="249"/>
        <v>х</v>
      </c>
      <c r="BO217" s="4" t="str">
        <f t="shared" si="249"/>
        <v>х</v>
      </c>
      <c r="BP217" s="4" t="str">
        <f t="shared" si="249"/>
        <v>х</v>
      </c>
      <c r="BQ217" s="4" t="str">
        <f t="shared" si="249"/>
        <v>х</v>
      </c>
      <c r="BR217" s="4" t="str">
        <f>"1971"</f>
        <v>1971</v>
      </c>
      <c r="BS217" s="4" t="str">
        <f>"60,00"</f>
        <v>60,00</v>
      </c>
      <c r="BT217" s="4" t="str">
        <f>"2024-2026"</f>
        <v>2024-2026</v>
      </c>
      <c r="BU217" s="4" t="str">
        <f t="shared" si="237"/>
        <v>нет</v>
      </c>
      <c r="BV217" s="4" t="str">
        <f t="shared" si="245"/>
        <v>x</v>
      </c>
      <c r="BW217" s="4" t="str">
        <f t="shared" si="245"/>
        <v>x</v>
      </c>
      <c r="BX217" s="4" t="str">
        <f t="shared" si="245"/>
        <v>x</v>
      </c>
      <c r="BY217" s="4" t="str">
        <f t="shared" si="229"/>
        <v>нет</v>
      </c>
      <c r="BZ217" s="4" t="str">
        <f t="shared" si="228"/>
        <v>x</v>
      </c>
      <c r="CA217" s="4" t="str">
        <f t="shared" si="228"/>
        <v>x</v>
      </c>
      <c r="CB217" s="4" t="str">
        <f t="shared" si="228"/>
        <v>x</v>
      </c>
      <c r="CC217" s="4" t="str">
        <f>"1971"</f>
        <v>1971</v>
      </c>
      <c r="CD217" s="4" t="str">
        <f>"60,00"</f>
        <v>60,00</v>
      </c>
      <c r="CE217" s="4" t="str">
        <f>"2024-2026"</f>
        <v>2024-2026</v>
      </c>
      <c r="CF217" s="4" t="str">
        <f>"1971"</f>
        <v>1971</v>
      </c>
      <c r="CG217" s="4" t="str">
        <f>"30,00"</f>
        <v>30,00</v>
      </c>
      <c r="CH217" s="4" t="str">
        <f>"2024-2026"</f>
        <v>2024-2026</v>
      </c>
      <c r="CI217" s="4" t="str">
        <f>"55,00"</f>
        <v>55,00</v>
      </c>
      <c r="CJ217" s="4" t="str">
        <f>"2024-2026"</f>
        <v>2024-2026</v>
      </c>
    </row>
    <row r="218" spans="1:88" ht="11.25" customHeight="1">
      <c r="A218" s="45" t="str">
        <f>"24.205"</f>
        <v>24.205</v>
      </c>
      <c r="B218" s="46" t="str">
        <f>"г. Харовск, ул.Сосновая, д.3"</f>
        <v>г. Харовск, ул.Сосновая, д.3</v>
      </c>
      <c r="C218" s="6" t="str">
        <f>"1969"</f>
        <v>1969</v>
      </c>
      <c r="D218" s="4" t="str">
        <f>"1969"</f>
        <v>1969</v>
      </c>
      <c r="E218" s="4" t="str">
        <f>"60,00"</f>
        <v>60,00</v>
      </c>
      <c r="F218" s="4" t="str">
        <f>"2023-2025"</f>
        <v>2023-2025</v>
      </c>
      <c r="G218" s="4" t="str">
        <f t="shared" si="211"/>
        <v>нет</v>
      </c>
      <c r="H218" s="4" t="str">
        <f>""</f>
        <v/>
      </c>
      <c r="I218" s="4" t="str">
        <f>""</f>
        <v/>
      </c>
      <c r="J218" s="4" t="str">
        <f>""</f>
        <v/>
      </c>
      <c r="K218" s="4" t="str">
        <f t="shared" si="235"/>
        <v>нет</v>
      </c>
      <c r="L218" s="4" t="str">
        <f>""</f>
        <v/>
      </c>
      <c r="M218" s="4" t="str">
        <f>""</f>
        <v/>
      </c>
      <c r="N218" s="4" t="str">
        <f>""</f>
        <v/>
      </c>
      <c r="O218" s="7" t="str">
        <f t="shared" si="246"/>
        <v>х</v>
      </c>
      <c r="P218" s="4" t="str">
        <f t="shared" si="246"/>
        <v>х</v>
      </c>
      <c r="Q218" s="4" t="str">
        <f t="shared" si="246"/>
        <v>х</v>
      </c>
      <c r="R218" s="4" t="str">
        <f t="shared" si="246"/>
        <v>х</v>
      </c>
      <c r="S218" s="4" t="str">
        <f t="shared" si="246"/>
        <v>х</v>
      </c>
      <c r="T218" s="4" t="str">
        <f t="shared" si="246"/>
        <v>х</v>
      </c>
      <c r="U218" s="4" t="str">
        <f t="shared" si="246"/>
        <v>х</v>
      </c>
      <c r="V218" s="4" t="str">
        <f t="shared" si="246"/>
        <v>х</v>
      </c>
      <c r="W218" s="4" t="str">
        <f t="shared" si="246"/>
        <v>х</v>
      </c>
      <c r="X218" s="4" t="str">
        <f t="shared" si="246"/>
        <v>х</v>
      </c>
      <c r="Y218" s="8" t="str">
        <f t="shared" si="246"/>
        <v>х</v>
      </c>
      <c r="Z218" s="4" t="str">
        <f t="shared" si="242"/>
        <v>х</v>
      </c>
      <c r="AA218" s="4" t="str">
        <f t="shared" si="242"/>
        <v>х</v>
      </c>
      <c r="AB218" s="4" t="str">
        <f t="shared" si="242"/>
        <v>х</v>
      </c>
      <c r="AC218" s="4" t="str">
        <f t="shared" si="242"/>
        <v>х</v>
      </c>
      <c r="AD218" s="4" t="str">
        <f t="shared" si="242"/>
        <v>х</v>
      </c>
      <c r="AE218" s="4" t="str">
        <f t="shared" si="242"/>
        <v>х</v>
      </c>
      <c r="AF218" s="4" t="str">
        <f t="shared" si="242"/>
        <v>х</v>
      </c>
      <c r="AG218" s="4" t="str">
        <f t="shared" si="242"/>
        <v>х</v>
      </c>
      <c r="AH218" s="4" t="str">
        <f t="shared" si="242"/>
        <v>х</v>
      </c>
      <c r="AI218" s="4" t="str">
        <f t="shared" si="242"/>
        <v>х</v>
      </c>
      <c r="AJ218" s="4" t="str">
        <f t="shared" si="242"/>
        <v>х</v>
      </c>
      <c r="AK218" s="7" t="str">
        <f t="shared" si="247"/>
        <v>х</v>
      </c>
      <c r="AL218" s="4" t="str">
        <f t="shared" si="247"/>
        <v>х</v>
      </c>
      <c r="AM218" s="4" t="str">
        <f t="shared" si="247"/>
        <v>х</v>
      </c>
      <c r="AN218" s="4" t="str">
        <f t="shared" si="247"/>
        <v>х</v>
      </c>
      <c r="AO218" s="4" t="str">
        <f t="shared" si="247"/>
        <v>х</v>
      </c>
      <c r="AP218" s="4" t="str">
        <f t="shared" si="247"/>
        <v>х</v>
      </c>
      <c r="AQ218" s="4" t="str">
        <f t="shared" si="247"/>
        <v>х</v>
      </c>
      <c r="AR218" s="4" t="str">
        <f t="shared" si="247"/>
        <v>х</v>
      </c>
      <c r="AS218" s="4" t="str">
        <f t="shared" si="247"/>
        <v>х</v>
      </c>
      <c r="AT218" s="4" t="str">
        <f t="shared" si="247"/>
        <v>х</v>
      </c>
      <c r="AU218" s="4" t="str">
        <f t="shared" si="248"/>
        <v>х</v>
      </c>
      <c r="AV218" s="4" t="str">
        <f t="shared" si="248"/>
        <v>х</v>
      </c>
      <c r="AW218" s="4" t="str">
        <f t="shared" si="248"/>
        <v>х</v>
      </c>
      <c r="AX218" s="4" t="str">
        <f t="shared" si="248"/>
        <v>х</v>
      </c>
      <c r="AY218" s="4" t="str">
        <f t="shared" si="248"/>
        <v>х</v>
      </c>
      <c r="AZ218" s="4" t="str">
        <f t="shared" si="248"/>
        <v>х</v>
      </c>
      <c r="BA218" s="4" t="str">
        <f t="shared" si="248"/>
        <v>х</v>
      </c>
      <c r="BB218" s="4" t="str">
        <f t="shared" si="248"/>
        <v>х</v>
      </c>
      <c r="BC218" s="4" t="str">
        <f t="shared" si="248"/>
        <v>х</v>
      </c>
      <c r="BD218" s="4" t="str">
        <f t="shared" si="248"/>
        <v>х</v>
      </c>
      <c r="BE218" s="4" t="str">
        <f t="shared" si="249"/>
        <v>х</v>
      </c>
      <c r="BF218" s="4" t="str">
        <f t="shared" si="249"/>
        <v>х</v>
      </c>
      <c r="BG218" s="4" t="str">
        <f t="shared" si="249"/>
        <v>х</v>
      </c>
      <c r="BH218" s="4" t="str">
        <f t="shared" si="249"/>
        <v>х</v>
      </c>
      <c r="BI218" s="4" t="str">
        <f t="shared" si="249"/>
        <v>х</v>
      </c>
      <c r="BJ218" s="4" t="str">
        <f t="shared" si="249"/>
        <v>х</v>
      </c>
      <c r="BK218" s="4" t="str">
        <f t="shared" si="249"/>
        <v>х</v>
      </c>
      <c r="BL218" s="4" t="str">
        <f t="shared" si="249"/>
        <v>х</v>
      </c>
      <c r="BM218" s="4" t="str">
        <f t="shared" si="249"/>
        <v>х</v>
      </c>
      <c r="BN218" s="4" t="str">
        <f t="shared" si="249"/>
        <v>х</v>
      </c>
      <c r="BO218" s="4" t="str">
        <f t="shared" si="249"/>
        <v>х</v>
      </c>
      <c r="BP218" s="4" t="str">
        <f t="shared" si="249"/>
        <v>х</v>
      </c>
      <c r="BQ218" s="4" t="str">
        <f t="shared" si="249"/>
        <v>х</v>
      </c>
      <c r="BR218" s="4" t="str">
        <f>"1969"</f>
        <v>1969</v>
      </c>
      <c r="BS218" s="4" t="str">
        <f>"60,00"</f>
        <v>60,00</v>
      </c>
      <c r="BT218" s="4" t="str">
        <f>"2023-2025"</f>
        <v>2023-2025</v>
      </c>
      <c r="BU218" s="4" t="str">
        <f t="shared" si="237"/>
        <v>нет</v>
      </c>
      <c r="BV218" s="4" t="str">
        <f t="shared" si="245"/>
        <v>x</v>
      </c>
      <c r="BW218" s="4" t="str">
        <f t="shared" si="245"/>
        <v>x</v>
      </c>
      <c r="BX218" s="4" t="str">
        <f t="shared" si="245"/>
        <v>x</v>
      </c>
      <c r="BY218" s="4" t="str">
        <f t="shared" si="229"/>
        <v>нет</v>
      </c>
      <c r="BZ218" s="4" t="str">
        <f t="shared" si="228"/>
        <v>x</v>
      </c>
      <c r="CA218" s="4" t="str">
        <f t="shared" si="228"/>
        <v>x</v>
      </c>
      <c r="CB218" s="4" t="str">
        <f t="shared" si="228"/>
        <v>x</v>
      </c>
      <c r="CC218" s="4" t="str">
        <f>"1969"</f>
        <v>1969</v>
      </c>
      <c r="CD218" s="4" t="str">
        <f>"65,00"</f>
        <v>65,00</v>
      </c>
      <c r="CE218" s="4" t="str">
        <f>"2023-2025"</f>
        <v>2023-2025</v>
      </c>
      <c r="CF218" s="4" t="str">
        <f>"1969"</f>
        <v>1969</v>
      </c>
      <c r="CG218" s="4" t="str">
        <f>"40,00"</f>
        <v>40,00</v>
      </c>
      <c r="CH218" s="4" t="str">
        <f>"2042-2044"</f>
        <v>2042-2044</v>
      </c>
      <c r="CI218" s="4" t="str">
        <f>"59,00"</f>
        <v>59,00</v>
      </c>
      <c r="CJ218" s="4" t="str">
        <f>"2023-2025"</f>
        <v>2023-2025</v>
      </c>
    </row>
    <row r="219" spans="1:88" ht="11.25" customHeight="1">
      <c r="A219" s="45" t="str">
        <f>"24.206"</f>
        <v>24.206</v>
      </c>
      <c r="B219" s="46" t="str">
        <f>"г. Харовск, ул.Сосновая, д.5"</f>
        <v>г. Харовск, ул.Сосновая, д.5</v>
      </c>
      <c r="C219" s="6" t="str">
        <f>"1969"</f>
        <v>1969</v>
      </c>
      <c r="D219" s="4" t="str">
        <f>"1969"</f>
        <v>1969</v>
      </c>
      <c r="E219" s="4" t="str">
        <f>"60,00"</f>
        <v>60,00</v>
      </c>
      <c r="F219" s="4" t="str">
        <f>"2023-2025"</f>
        <v>2023-2025</v>
      </c>
      <c r="G219" s="4" t="str">
        <f t="shared" si="211"/>
        <v>нет</v>
      </c>
      <c r="H219" s="4" t="str">
        <f>""</f>
        <v/>
      </c>
      <c r="I219" s="4" t="str">
        <f>""</f>
        <v/>
      </c>
      <c r="J219" s="4" t="str">
        <f>""</f>
        <v/>
      </c>
      <c r="K219" s="4" t="str">
        <f t="shared" si="235"/>
        <v>нет</v>
      </c>
      <c r="L219" s="4" t="str">
        <f>""</f>
        <v/>
      </c>
      <c r="M219" s="4" t="str">
        <f>""</f>
        <v/>
      </c>
      <c r="N219" s="4" t="str">
        <f>""</f>
        <v/>
      </c>
      <c r="O219" s="7" t="str">
        <f t="shared" si="246"/>
        <v>х</v>
      </c>
      <c r="P219" s="4" t="str">
        <f t="shared" si="246"/>
        <v>х</v>
      </c>
      <c r="Q219" s="4" t="str">
        <f t="shared" si="246"/>
        <v>х</v>
      </c>
      <c r="R219" s="4" t="str">
        <f t="shared" si="246"/>
        <v>х</v>
      </c>
      <c r="S219" s="4" t="str">
        <f t="shared" si="246"/>
        <v>х</v>
      </c>
      <c r="T219" s="4" t="str">
        <f t="shared" si="246"/>
        <v>х</v>
      </c>
      <c r="U219" s="4" t="str">
        <f t="shared" si="246"/>
        <v>х</v>
      </c>
      <c r="V219" s="4" t="str">
        <f t="shared" si="246"/>
        <v>х</v>
      </c>
      <c r="W219" s="4" t="str">
        <f t="shared" si="246"/>
        <v>х</v>
      </c>
      <c r="X219" s="4" t="str">
        <f t="shared" si="246"/>
        <v>х</v>
      </c>
      <c r="Y219" s="8" t="str">
        <f t="shared" si="246"/>
        <v>х</v>
      </c>
      <c r="Z219" s="4" t="str">
        <f t="shared" si="242"/>
        <v>х</v>
      </c>
      <c r="AA219" s="4" t="str">
        <f t="shared" si="242"/>
        <v>х</v>
      </c>
      <c r="AB219" s="4" t="str">
        <f t="shared" si="242"/>
        <v>х</v>
      </c>
      <c r="AC219" s="4" t="str">
        <f t="shared" si="242"/>
        <v>х</v>
      </c>
      <c r="AD219" s="4" t="str">
        <f t="shared" si="242"/>
        <v>х</v>
      </c>
      <c r="AE219" s="4" t="str">
        <f t="shared" si="242"/>
        <v>х</v>
      </c>
      <c r="AF219" s="4" t="str">
        <f t="shared" si="242"/>
        <v>х</v>
      </c>
      <c r="AG219" s="4" t="str">
        <f t="shared" si="242"/>
        <v>х</v>
      </c>
      <c r="AH219" s="4" t="str">
        <f t="shared" si="242"/>
        <v>х</v>
      </c>
      <c r="AI219" s="4" t="str">
        <f t="shared" si="242"/>
        <v>х</v>
      </c>
      <c r="AJ219" s="4" t="str">
        <f t="shared" si="242"/>
        <v>х</v>
      </c>
      <c r="AK219" s="7" t="str">
        <f t="shared" si="247"/>
        <v>х</v>
      </c>
      <c r="AL219" s="4" t="str">
        <f t="shared" si="247"/>
        <v>х</v>
      </c>
      <c r="AM219" s="4" t="str">
        <f t="shared" si="247"/>
        <v>х</v>
      </c>
      <c r="AN219" s="4" t="str">
        <f t="shared" si="247"/>
        <v>х</v>
      </c>
      <c r="AO219" s="4" t="str">
        <f t="shared" si="247"/>
        <v>х</v>
      </c>
      <c r="AP219" s="4" t="str">
        <f t="shared" si="247"/>
        <v>х</v>
      </c>
      <c r="AQ219" s="4" t="str">
        <f t="shared" si="247"/>
        <v>х</v>
      </c>
      <c r="AR219" s="4" t="str">
        <f t="shared" si="247"/>
        <v>х</v>
      </c>
      <c r="AS219" s="4" t="str">
        <f t="shared" si="247"/>
        <v>х</v>
      </c>
      <c r="AT219" s="4" t="str">
        <f t="shared" si="247"/>
        <v>х</v>
      </c>
      <c r="AU219" s="4" t="str">
        <f t="shared" si="248"/>
        <v>х</v>
      </c>
      <c r="AV219" s="4" t="str">
        <f t="shared" si="248"/>
        <v>х</v>
      </c>
      <c r="AW219" s="4" t="str">
        <f t="shared" si="248"/>
        <v>х</v>
      </c>
      <c r="AX219" s="4" t="str">
        <f t="shared" si="248"/>
        <v>х</v>
      </c>
      <c r="AY219" s="4" t="str">
        <f t="shared" si="248"/>
        <v>х</v>
      </c>
      <c r="AZ219" s="4" t="str">
        <f t="shared" si="248"/>
        <v>х</v>
      </c>
      <c r="BA219" s="4" t="str">
        <f t="shared" si="248"/>
        <v>х</v>
      </c>
      <c r="BB219" s="4" t="str">
        <f t="shared" si="248"/>
        <v>х</v>
      </c>
      <c r="BC219" s="4" t="str">
        <f t="shared" si="248"/>
        <v>х</v>
      </c>
      <c r="BD219" s="4" t="str">
        <f t="shared" si="248"/>
        <v>х</v>
      </c>
      <c r="BE219" s="4" t="str">
        <f t="shared" si="249"/>
        <v>х</v>
      </c>
      <c r="BF219" s="4" t="str">
        <f t="shared" si="249"/>
        <v>х</v>
      </c>
      <c r="BG219" s="4" t="str">
        <f t="shared" si="249"/>
        <v>х</v>
      </c>
      <c r="BH219" s="4" t="str">
        <f t="shared" si="249"/>
        <v>х</v>
      </c>
      <c r="BI219" s="4" t="str">
        <f t="shared" si="249"/>
        <v>х</v>
      </c>
      <c r="BJ219" s="4" t="str">
        <f t="shared" si="249"/>
        <v>х</v>
      </c>
      <c r="BK219" s="4" t="str">
        <f t="shared" si="249"/>
        <v>х</v>
      </c>
      <c r="BL219" s="4" t="str">
        <f t="shared" si="249"/>
        <v>х</v>
      </c>
      <c r="BM219" s="4" t="str">
        <f t="shared" si="249"/>
        <v>х</v>
      </c>
      <c r="BN219" s="4" t="str">
        <f t="shared" si="249"/>
        <v>х</v>
      </c>
      <c r="BO219" s="4" t="str">
        <f t="shared" si="249"/>
        <v>х</v>
      </c>
      <c r="BP219" s="4" t="str">
        <f t="shared" si="249"/>
        <v>х</v>
      </c>
      <c r="BQ219" s="4" t="str">
        <f t="shared" si="249"/>
        <v>х</v>
      </c>
      <c r="BR219" s="4" t="str">
        <f>"1969"</f>
        <v>1969</v>
      </c>
      <c r="BS219" s="4" t="str">
        <f>"60,00"</f>
        <v>60,00</v>
      </c>
      <c r="BT219" s="4" t="str">
        <f>"2023-2025"</f>
        <v>2023-2025</v>
      </c>
      <c r="BU219" s="4" t="str">
        <f t="shared" si="237"/>
        <v>нет</v>
      </c>
      <c r="BV219" s="4" t="str">
        <f t="shared" si="245"/>
        <v>x</v>
      </c>
      <c r="BW219" s="4" t="str">
        <f t="shared" si="245"/>
        <v>x</v>
      </c>
      <c r="BX219" s="4" t="str">
        <f t="shared" si="245"/>
        <v>x</v>
      </c>
      <c r="BY219" s="4" t="str">
        <f t="shared" si="229"/>
        <v>нет</v>
      </c>
      <c r="BZ219" s="4" t="str">
        <f t="shared" si="228"/>
        <v>x</v>
      </c>
      <c r="CA219" s="4" t="str">
        <f t="shared" si="228"/>
        <v>x</v>
      </c>
      <c r="CB219" s="4" t="str">
        <f t="shared" si="228"/>
        <v>x</v>
      </c>
      <c r="CC219" s="4" t="str">
        <f>"1969"</f>
        <v>1969</v>
      </c>
      <c r="CD219" s="4" t="str">
        <f>"65,00"</f>
        <v>65,00</v>
      </c>
      <c r="CE219" s="4" t="str">
        <f>"2023-2025"</f>
        <v>2023-2025</v>
      </c>
      <c r="CF219" s="4" t="str">
        <f>"1969"</f>
        <v>1969</v>
      </c>
      <c r="CG219" s="4" t="str">
        <f>"40,00"</f>
        <v>40,00</v>
      </c>
      <c r="CH219" s="4" t="str">
        <f>"2023-2025"</f>
        <v>2023-2025</v>
      </c>
      <c r="CI219" s="4" t="str">
        <f>"59,00"</f>
        <v>59,00</v>
      </c>
      <c r="CJ219" s="4" t="str">
        <f>"2023-2025"</f>
        <v>2023-2025</v>
      </c>
    </row>
    <row r="220" spans="1:88" ht="11.25" customHeight="1">
      <c r="A220" s="45" t="str">
        <f>"24.207"</f>
        <v>24.207</v>
      </c>
      <c r="B220" s="46" t="str">
        <f>"г. Харовск, ул.Спортивная, д.1"</f>
        <v>г. Харовск, ул.Спортивная, д.1</v>
      </c>
      <c r="C220" s="6" t="str">
        <f>"1963"</f>
        <v>1963</v>
      </c>
      <c r="D220" s="4" t="str">
        <f>"1963"</f>
        <v>1963</v>
      </c>
      <c r="E220" s="4" t="str">
        <f>"40,00"</f>
        <v>40,00</v>
      </c>
      <c r="F220" s="4" t="str">
        <f>"2021-2023"</f>
        <v>2021-2023</v>
      </c>
      <c r="G220" s="4" t="str">
        <f t="shared" si="211"/>
        <v>нет</v>
      </c>
      <c r="H220" s="4" t="str">
        <f>""</f>
        <v/>
      </c>
      <c r="I220" s="4" t="str">
        <f>""</f>
        <v/>
      </c>
      <c r="J220" s="4" t="str">
        <f>""</f>
        <v/>
      </c>
      <c r="K220" s="4" t="str">
        <f t="shared" si="235"/>
        <v>нет</v>
      </c>
      <c r="L220" s="4" t="str">
        <f>""</f>
        <v/>
      </c>
      <c r="M220" s="4" t="str">
        <f>""</f>
        <v/>
      </c>
      <c r="N220" s="4" t="str">
        <f>""</f>
        <v/>
      </c>
      <c r="O220" s="7" t="str">
        <f>"1963"</f>
        <v>1963</v>
      </c>
      <c r="P220" s="4" t="str">
        <f>"40,00"</f>
        <v>40,00</v>
      </c>
      <c r="Q220" s="4" t="str">
        <f>"2021-2023"</f>
        <v>2021-2023</v>
      </c>
      <c r="R220" s="4" t="str">
        <f>"нет"</f>
        <v>нет</v>
      </c>
      <c r="S220" s="4" t="str">
        <f>""</f>
        <v/>
      </c>
      <c r="T220" s="4" t="str">
        <f>""</f>
        <v/>
      </c>
      <c r="U220" s="4" t="str">
        <f>"2021-2023"</f>
        <v>2021-2023</v>
      </c>
      <c r="V220" s="4" t="str">
        <f>"нет"</f>
        <v>нет</v>
      </c>
      <c r="W220" s="4" t="str">
        <f>""</f>
        <v/>
      </c>
      <c r="X220" s="4" t="str">
        <f>""</f>
        <v/>
      </c>
      <c r="Y220" s="8" t="str">
        <f>""</f>
        <v/>
      </c>
      <c r="Z220" s="4" t="str">
        <f t="shared" si="242"/>
        <v>х</v>
      </c>
      <c r="AA220" s="4" t="str">
        <f t="shared" si="242"/>
        <v>х</v>
      </c>
      <c r="AB220" s="4" t="str">
        <f t="shared" si="242"/>
        <v>х</v>
      </c>
      <c r="AC220" s="4" t="str">
        <f t="shared" si="242"/>
        <v>х</v>
      </c>
      <c r="AD220" s="4" t="str">
        <f t="shared" si="242"/>
        <v>х</v>
      </c>
      <c r="AE220" s="4" t="str">
        <f t="shared" si="242"/>
        <v>х</v>
      </c>
      <c r="AF220" s="4" t="str">
        <f t="shared" si="242"/>
        <v>х</v>
      </c>
      <c r="AG220" s="4" t="str">
        <f t="shared" si="242"/>
        <v>х</v>
      </c>
      <c r="AH220" s="4" t="str">
        <f t="shared" si="242"/>
        <v>х</v>
      </c>
      <c r="AI220" s="4" t="str">
        <f t="shared" si="242"/>
        <v>х</v>
      </c>
      <c r="AJ220" s="4" t="str">
        <f t="shared" si="242"/>
        <v>х</v>
      </c>
      <c r="AK220" s="7" t="str">
        <f t="shared" si="247"/>
        <v>х</v>
      </c>
      <c r="AL220" s="4" t="str">
        <f t="shared" si="247"/>
        <v>х</v>
      </c>
      <c r="AM220" s="4" t="str">
        <f t="shared" si="247"/>
        <v>х</v>
      </c>
      <c r="AN220" s="4" t="str">
        <f t="shared" si="247"/>
        <v>х</v>
      </c>
      <c r="AO220" s="4" t="str">
        <f t="shared" si="247"/>
        <v>х</v>
      </c>
      <c r="AP220" s="4" t="str">
        <f t="shared" si="247"/>
        <v>х</v>
      </c>
      <c r="AQ220" s="4" t="str">
        <f t="shared" si="247"/>
        <v>х</v>
      </c>
      <c r="AR220" s="4" t="str">
        <f t="shared" si="247"/>
        <v>х</v>
      </c>
      <c r="AS220" s="4" t="str">
        <f t="shared" si="247"/>
        <v>х</v>
      </c>
      <c r="AT220" s="4" t="str">
        <f t="shared" si="247"/>
        <v>х</v>
      </c>
      <c r="AU220" s="4" t="str">
        <f t="shared" si="248"/>
        <v>х</v>
      </c>
      <c r="AV220" s="4" t="str">
        <f t="shared" si="248"/>
        <v>х</v>
      </c>
      <c r="AW220" s="4" t="str">
        <f t="shared" si="248"/>
        <v>х</v>
      </c>
      <c r="AX220" s="4" t="str">
        <f t="shared" si="248"/>
        <v>х</v>
      </c>
      <c r="AY220" s="4" t="str">
        <f t="shared" si="248"/>
        <v>х</v>
      </c>
      <c r="AZ220" s="4" t="str">
        <f t="shared" si="248"/>
        <v>х</v>
      </c>
      <c r="BA220" s="4" t="str">
        <f t="shared" si="248"/>
        <v>х</v>
      </c>
      <c r="BB220" s="4" t="str">
        <f t="shared" si="248"/>
        <v>х</v>
      </c>
      <c r="BC220" s="4" t="str">
        <f t="shared" si="248"/>
        <v>х</v>
      </c>
      <c r="BD220" s="4" t="str">
        <f t="shared" si="248"/>
        <v>х</v>
      </c>
      <c r="BE220" s="4" t="str">
        <f t="shared" si="249"/>
        <v>х</v>
      </c>
      <c r="BF220" s="4" t="str">
        <f t="shared" si="249"/>
        <v>х</v>
      </c>
      <c r="BG220" s="4" t="str">
        <f t="shared" si="249"/>
        <v>х</v>
      </c>
      <c r="BH220" s="4" t="str">
        <f t="shared" si="249"/>
        <v>х</v>
      </c>
      <c r="BI220" s="4" t="str">
        <f t="shared" si="249"/>
        <v>х</v>
      </c>
      <c r="BJ220" s="4" t="str">
        <f t="shared" si="249"/>
        <v>х</v>
      </c>
      <c r="BK220" s="4" t="str">
        <f t="shared" si="249"/>
        <v>х</v>
      </c>
      <c r="BL220" s="4" t="str">
        <f t="shared" si="249"/>
        <v>х</v>
      </c>
      <c r="BM220" s="4" t="str">
        <f t="shared" si="249"/>
        <v>х</v>
      </c>
      <c r="BN220" s="4" t="str">
        <f t="shared" si="249"/>
        <v>х</v>
      </c>
      <c r="BO220" s="4" t="str">
        <f t="shared" si="249"/>
        <v>х</v>
      </c>
      <c r="BP220" s="4" t="str">
        <f t="shared" si="249"/>
        <v>х</v>
      </c>
      <c r="BQ220" s="4" t="str">
        <f t="shared" si="249"/>
        <v>х</v>
      </c>
      <c r="BR220" s="4" t="str">
        <f>"1963"</f>
        <v>1963</v>
      </c>
      <c r="BS220" s="4" t="str">
        <f>"65,00"</f>
        <v>65,00</v>
      </c>
      <c r="BT220" s="4" t="str">
        <f>"2021-2023"</f>
        <v>2021-2023</v>
      </c>
      <c r="BU220" s="4" t="str">
        <f t="shared" si="237"/>
        <v>нет</v>
      </c>
      <c r="BV220" s="4" t="str">
        <f t="shared" si="245"/>
        <v>x</v>
      </c>
      <c r="BW220" s="4" t="str">
        <f t="shared" si="245"/>
        <v>x</v>
      </c>
      <c r="BX220" s="4" t="str">
        <f t="shared" si="245"/>
        <v>x</v>
      </c>
      <c r="BY220" s="4" t="str">
        <f t="shared" si="229"/>
        <v>нет</v>
      </c>
      <c r="BZ220" s="4" t="str">
        <f t="shared" ref="BZ220:CB239" si="250">"x"</f>
        <v>x</v>
      </c>
      <c r="CA220" s="4" t="str">
        <f t="shared" si="250"/>
        <v>x</v>
      </c>
      <c r="CB220" s="4" t="str">
        <f t="shared" si="250"/>
        <v>x</v>
      </c>
      <c r="CC220" s="4" t="str">
        <f>"1963"</f>
        <v>1963</v>
      </c>
      <c r="CD220" s="4" t="str">
        <f>"50,00"</f>
        <v>50,00</v>
      </c>
      <c r="CE220" s="4" t="str">
        <f>"2021-2023"</f>
        <v>2021-2023</v>
      </c>
      <c r="CF220" s="4" t="str">
        <f>"1963"</f>
        <v>1963</v>
      </c>
      <c r="CG220" s="4" t="str">
        <f>"55,00"</f>
        <v>55,00</v>
      </c>
      <c r="CH220" s="4" t="str">
        <f>"2021-2023"</f>
        <v>2021-2023</v>
      </c>
      <c r="CI220" s="4" t="str">
        <f>"58,00"</f>
        <v>58,00</v>
      </c>
      <c r="CJ220" s="4" t="str">
        <f>"2021-2023"</f>
        <v>2021-2023</v>
      </c>
    </row>
    <row r="221" spans="1:88" ht="11.25" customHeight="1">
      <c r="A221" s="45" t="str">
        <f>"24.208"</f>
        <v>24.208</v>
      </c>
      <c r="B221" s="46" t="str">
        <f>"г. Харовск, ул.Спортивная, д.3"</f>
        <v>г. Харовск, ул.Спортивная, д.3</v>
      </c>
      <c r="C221" s="6" t="str">
        <f>"1954"</f>
        <v>1954</v>
      </c>
      <c r="D221" s="4" t="str">
        <f>"1954"</f>
        <v>1954</v>
      </c>
      <c r="E221" s="4" t="str">
        <f>"30,00"</f>
        <v>30,00</v>
      </c>
      <c r="F221" s="4" t="str">
        <f>"2017-2019"</f>
        <v>2017-2019</v>
      </c>
      <c r="G221" s="4" t="str">
        <f t="shared" si="211"/>
        <v>нет</v>
      </c>
      <c r="H221" s="4" t="str">
        <f>""</f>
        <v/>
      </c>
      <c r="I221" s="4" t="str">
        <f>""</f>
        <v/>
      </c>
      <c r="J221" s="4" t="str">
        <f>""</f>
        <v/>
      </c>
      <c r="K221" s="4" t="str">
        <f t="shared" si="235"/>
        <v>нет</v>
      </c>
      <c r="L221" s="4" t="str">
        <f>""</f>
        <v/>
      </c>
      <c r="M221" s="4" t="str">
        <f>""</f>
        <v/>
      </c>
      <c r="N221" s="4" t="str">
        <f>""</f>
        <v/>
      </c>
      <c r="O221" s="7" t="str">
        <f>"1954"</f>
        <v>1954</v>
      </c>
      <c r="P221" s="4" t="str">
        <f>"30,00"</f>
        <v>30,00</v>
      </c>
      <c r="Q221" s="4" t="str">
        <f>"2017-2019"</f>
        <v>2017-2019</v>
      </c>
      <c r="R221" s="4" t="str">
        <f>"нет"</f>
        <v>нет</v>
      </c>
      <c r="S221" s="4" t="str">
        <f>""</f>
        <v/>
      </c>
      <c r="T221" s="4" t="str">
        <f>""</f>
        <v/>
      </c>
      <c r="U221" s="4" t="str">
        <f>"2017-2019"</f>
        <v>2017-2019</v>
      </c>
      <c r="V221" s="4" t="str">
        <f>"нет"</f>
        <v>нет</v>
      </c>
      <c r="W221" s="4" t="str">
        <f>""</f>
        <v/>
      </c>
      <c r="X221" s="4" t="str">
        <f>""</f>
        <v/>
      </c>
      <c r="Y221" s="8" t="str">
        <f>""</f>
        <v/>
      </c>
      <c r="Z221" s="4" t="str">
        <f t="shared" si="242"/>
        <v>х</v>
      </c>
      <c r="AA221" s="4" t="str">
        <f t="shared" si="242"/>
        <v>х</v>
      </c>
      <c r="AB221" s="4" t="str">
        <f t="shared" si="242"/>
        <v>х</v>
      </c>
      <c r="AC221" s="4" t="str">
        <f t="shared" si="242"/>
        <v>х</v>
      </c>
      <c r="AD221" s="4" t="str">
        <f t="shared" si="242"/>
        <v>х</v>
      </c>
      <c r="AE221" s="4" t="str">
        <f t="shared" si="242"/>
        <v>х</v>
      </c>
      <c r="AF221" s="4" t="str">
        <f t="shared" si="242"/>
        <v>х</v>
      </c>
      <c r="AG221" s="4" t="str">
        <f t="shared" si="242"/>
        <v>х</v>
      </c>
      <c r="AH221" s="4" t="str">
        <f t="shared" si="242"/>
        <v>х</v>
      </c>
      <c r="AI221" s="4" t="str">
        <f t="shared" si="242"/>
        <v>х</v>
      </c>
      <c r="AJ221" s="4" t="str">
        <f t="shared" si="242"/>
        <v>х</v>
      </c>
      <c r="AK221" s="7" t="str">
        <f t="shared" si="247"/>
        <v>х</v>
      </c>
      <c r="AL221" s="4" t="str">
        <f t="shared" si="247"/>
        <v>х</v>
      </c>
      <c r="AM221" s="4" t="str">
        <f t="shared" si="247"/>
        <v>х</v>
      </c>
      <c r="AN221" s="4" t="str">
        <f t="shared" si="247"/>
        <v>х</v>
      </c>
      <c r="AO221" s="4" t="str">
        <f t="shared" si="247"/>
        <v>х</v>
      </c>
      <c r="AP221" s="4" t="str">
        <f t="shared" si="247"/>
        <v>х</v>
      </c>
      <c r="AQ221" s="4" t="str">
        <f t="shared" si="247"/>
        <v>х</v>
      </c>
      <c r="AR221" s="4" t="str">
        <f t="shared" si="247"/>
        <v>х</v>
      </c>
      <c r="AS221" s="4" t="str">
        <f t="shared" si="247"/>
        <v>х</v>
      </c>
      <c r="AT221" s="4" t="str">
        <f t="shared" si="247"/>
        <v>х</v>
      </c>
      <c r="AU221" s="4" t="str">
        <f t="shared" si="248"/>
        <v>х</v>
      </c>
      <c r="AV221" s="4" t="str">
        <f t="shared" si="248"/>
        <v>х</v>
      </c>
      <c r="AW221" s="4" t="str">
        <f t="shared" si="248"/>
        <v>х</v>
      </c>
      <c r="AX221" s="4" t="str">
        <f t="shared" si="248"/>
        <v>х</v>
      </c>
      <c r="AY221" s="4" t="str">
        <f t="shared" si="248"/>
        <v>х</v>
      </c>
      <c r="AZ221" s="4" t="str">
        <f t="shared" si="248"/>
        <v>х</v>
      </c>
      <c r="BA221" s="4" t="str">
        <f t="shared" si="248"/>
        <v>х</v>
      </c>
      <c r="BB221" s="4" t="str">
        <f t="shared" si="248"/>
        <v>х</v>
      </c>
      <c r="BC221" s="4" t="str">
        <f t="shared" si="248"/>
        <v>х</v>
      </c>
      <c r="BD221" s="4" t="str">
        <f t="shared" si="248"/>
        <v>х</v>
      </c>
      <c r="BE221" s="4" t="str">
        <f t="shared" si="249"/>
        <v>х</v>
      </c>
      <c r="BF221" s="4" t="str">
        <f t="shared" si="249"/>
        <v>х</v>
      </c>
      <c r="BG221" s="4" t="str">
        <f t="shared" si="249"/>
        <v>х</v>
      </c>
      <c r="BH221" s="4" t="str">
        <f t="shared" si="249"/>
        <v>х</v>
      </c>
      <c r="BI221" s="4" t="str">
        <f t="shared" si="249"/>
        <v>х</v>
      </c>
      <c r="BJ221" s="4" t="str">
        <f t="shared" si="249"/>
        <v>х</v>
      </c>
      <c r="BK221" s="4" t="str">
        <f t="shared" si="249"/>
        <v>х</v>
      </c>
      <c r="BL221" s="4" t="str">
        <f t="shared" si="249"/>
        <v>х</v>
      </c>
      <c r="BM221" s="4" t="str">
        <f t="shared" si="249"/>
        <v>х</v>
      </c>
      <c r="BN221" s="4" t="str">
        <f t="shared" si="249"/>
        <v>х</v>
      </c>
      <c r="BO221" s="4" t="str">
        <f t="shared" si="249"/>
        <v>х</v>
      </c>
      <c r="BP221" s="4" t="str">
        <f t="shared" si="249"/>
        <v>х</v>
      </c>
      <c r="BQ221" s="4" t="str">
        <f t="shared" si="249"/>
        <v>х</v>
      </c>
      <c r="BR221" s="4" t="str">
        <f>"1954"</f>
        <v>1954</v>
      </c>
      <c r="BS221" s="4" t="str">
        <f>"65,00"</f>
        <v>65,00</v>
      </c>
      <c r="BT221" s="4" t="str">
        <f>"2017-2019"</f>
        <v>2017-2019</v>
      </c>
      <c r="BU221" s="4" t="str">
        <f t="shared" si="237"/>
        <v>нет</v>
      </c>
      <c r="BV221" s="4" t="str">
        <f t="shared" si="245"/>
        <v>x</v>
      </c>
      <c r="BW221" s="4" t="str">
        <f t="shared" si="245"/>
        <v>x</v>
      </c>
      <c r="BX221" s="4" t="str">
        <f t="shared" si="245"/>
        <v>x</v>
      </c>
      <c r="BY221" s="4" t="str">
        <f t="shared" si="229"/>
        <v>нет</v>
      </c>
      <c r="BZ221" s="4" t="str">
        <f t="shared" si="250"/>
        <v>x</v>
      </c>
      <c r="CA221" s="4" t="str">
        <f t="shared" si="250"/>
        <v>x</v>
      </c>
      <c r="CB221" s="4" t="str">
        <f t="shared" si="250"/>
        <v>x</v>
      </c>
      <c r="CC221" s="4" t="str">
        <f>"1954"</f>
        <v>1954</v>
      </c>
      <c r="CD221" s="4" t="str">
        <f>"50,00"</f>
        <v>50,00</v>
      </c>
      <c r="CE221" s="4" t="str">
        <f>"2017-2019"</f>
        <v>2017-2019</v>
      </c>
      <c r="CF221" s="4" t="str">
        <f>"1954"</f>
        <v>1954</v>
      </c>
      <c r="CG221" s="4" t="str">
        <f>"65,00"</f>
        <v>65,00</v>
      </c>
      <c r="CH221" s="4" t="str">
        <f>"2017-2019"</f>
        <v>2017-2019</v>
      </c>
      <c r="CI221" s="4" t="str">
        <f>"58,00"</f>
        <v>58,00</v>
      </c>
      <c r="CJ221" s="4" t="str">
        <f>"2017-2019"</f>
        <v>2017-2019</v>
      </c>
    </row>
    <row r="222" spans="1:88" ht="11.25" customHeight="1">
      <c r="A222" s="45" t="str">
        <f>"24.209"</f>
        <v>24.209</v>
      </c>
      <c r="B222" s="46" t="str">
        <f>"г. Харовск, ул.Спортивная, д.5"</f>
        <v>г. Харовск, ул.Спортивная, д.5</v>
      </c>
      <c r="C222" s="6" t="str">
        <f>"1964"</f>
        <v>1964</v>
      </c>
      <c r="D222" s="4" t="str">
        <f>"1964"</f>
        <v>1964</v>
      </c>
      <c r="E222" s="4" t="str">
        <f>"30,00"</f>
        <v>30,00</v>
      </c>
      <c r="F222" s="4" t="str">
        <f>"2021-2023"</f>
        <v>2021-2023</v>
      </c>
      <c r="G222" s="4" t="str">
        <f t="shared" si="211"/>
        <v>нет</v>
      </c>
      <c r="H222" s="4" t="str">
        <f>""</f>
        <v/>
      </c>
      <c r="I222" s="4" t="str">
        <f>""</f>
        <v/>
      </c>
      <c r="J222" s="4" t="str">
        <f>""</f>
        <v/>
      </c>
      <c r="K222" s="4" t="str">
        <f t="shared" si="235"/>
        <v>нет</v>
      </c>
      <c r="L222" s="4" t="str">
        <f>""</f>
        <v/>
      </c>
      <c r="M222" s="4" t="str">
        <f>""</f>
        <v/>
      </c>
      <c r="N222" s="4" t="str">
        <f>""</f>
        <v/>
      </c>
      <c r="O222" s="7" t="str">
        <f>"1964"</f>
        <v>1964</v>
      </c>
      <c r="P222" s="4" t="str">
        <f>"30,00"</f>
        <v>30,00</v>
      </c>
      <c r="Q222" s="4" t="str">
        <f>"2021-2023"</f>
        <v>2021-2023</v>
      </c>
      <c r="R222" s="4" t="str">
        <f>"нет"</f>
        <v>нет</v>
      </c>
      <c r="S222" s="4" t="str">
        <f>""</f>
        <v/>
      </c>
      <c r="T222" s="4" t="str">
        <f>""</f>
        <v/>
      </c>
      <c r="U222" s="4" t="str">
        <f>"2021-2023"</f>
        <v>2021-2023</v>
      </c>
      <c r="V222" s="4" t="str">
        <f>"нет"</f>
        <v>нет</v>
      </c>
      <c r="W222" s="4" t="str">
        <f>""</f>
        <v/>
      </c>
      <c r="X222" s="4" t="str">
        <f>""</f>
        <v/>
      </c>
      <c r="Y222" s="8" t="str">
        <f>""</f>
        <v/>
      </c>
      <c r="Z222" s="4" t="str">
        <f t="shared" si="242"/>
        <v>х</v>
      </c>
      <c r="AA222" s="4" t="str">
        <f t="shared" si="242"/>
        <v>х</v>
      </c>
      <c r="AB222" s="4" t="str">
        <f t="shared" si="242"/>
        <v>х</v>
      </c>
      <c r="AC222" s="4" t="str">
        <f t="shared" si="242"/>
        <v>х</v>
      </c>
      <c r="AD222" s="4" t="str">
        <f t="shared" si="242"/>
        <v>х</v>
      </c>
      <c r="AE222" s="4" t="str">
        <f t="shared" si="242"/>
        <v>х</v>
      </c>
      <c r="AF222" s="4" t="str">
        <f t="shared" si="242"/>
        <v>х</v>
      </c>
      <c r="AG222" s="4" t="str">
        <f t="shared" si="242"/>
        <v>х</v>
      </c>
      <c r="AH222" s="4" t="str">
        <f t="shared" si="242"/>
        <v>х</v>
      </c>
      <c r="AI222" s="4" t="str">
        <f t="shared" si="242"/>
        <v>х</v>
      </c>
      <c r="AJ222" s="4" t="str">
        <f t="shared" si="242"/>
        <v>х</v>
      </c>
      <c r="AK222" s="7" t="str">
        <f t="shared" si="247"/>
        <v>х</v>
      </c>
      <c r="AL222" s="4" t="str">
        <f t="shared" si="247"/>
        <v>х</v>
      </c>
      <c r="AM222" s="4" t="str">
        <f t="shared" si="247"/>
        <v>х</v>
      </c>
      <c r="AN222" s="4" t="str">
        <f t="shared" si="247"/>
        <v>х</v>
      </c>
      <c r="AO222" s="4" t="str">
        <f t="shared" si="247"/>
        <v>х</v>
      </c>
      <c r="AP222" s="4" t="str">
        <f t="shared" si="247"/>
        <v>х</v>
      </c>
      <c r="AQ222" s="4" t="str">
        <f t="shared" si="247"/>
        <v>х</v>
      </c>
      <c r="AR222" s="4" t="str">
        <f t="shared" si="247"/>
        <v>х</v>
      </c>
      <c r="AS222" s="4" t="str">
        <f t="shared" si="247"/>
        <v>х</v>
      </c>
      <c r="AT222" s="4" t="str">
        <f t="shared" si="247"/>
        <v>х</v>
      </c>
      <c r="AU222" s="4" t="str">
        <f t="shared" si="248"/>
        <v>х</v>
      </c>
      <c r="AV222" s="4" t="str">
        <f t="shared" si="248"/>
        <v>х</v>
      </c>
      <c r="AW222" s="4" t="str">
        <f t="shared" si="248"/>
        <v>х</v>
      </c>
      <c r="AX222" s="4" t="str">
        <f t="shared" si="248"/>
        <v>х</v>
      </c>
      <c r="AY222" s="4" t="str">
        <f t="shared" si="248"/>
        <v>х</v>
      </c>
      <c r="AZ222" s="4" t="str">
        <f t="shared" si="248"/>
        <v>х</v>
      </c>
      <c r="BA222" s="4" t="str">
        <f t="shared" si="248"/>
        <v>х</v>
      </c>
      <c r="BB222" s="4" t="str">
        <f t="shared" si="248"/>
        <v>х</v>
      </c>
      <c r="BC222" s="4" t="str">
        <f t="shared" si="248"/>
        <v>х</v>
      </c>
      <c r="BD222" s="4" t="str">
        <f t="shared" si="248"/>
        <v>х</v>
      </c>
      <c r="BE222" s="4" t="str">
        <f t="shared" si="249"/>
        <v>х</v>
      </c>
      <c r="BF222" s="4" t="str">
        <f t="shared" si="249"/>
        <v>х</v>
      </c>
      <c r="BG222" s="4" t="str">
        <f t="shared" si="249"/>
        <v>х</v>
      </c>
      <c r="BH222" s="4" t="str">
        <f t="shared" si="249"/>
        <v>х</v>
      </c>
      <c r="BI222" s="4" t="str">
        <f t="shared" si="249"/>
        <v>х</v>
      </c>
      <c r="BJ222" s="4" t="str">
        <f t="shared" si="249"/>
        <v>х</v>
      </c>
      <c r="BK222" s="4" t="str">
        <f t="shared" si="249"/>
        <v>х</v>
      </c>
      <c r="BL222" s="4" t="str">
        <f t="shared" si="249"/>
        <v>х</v>
      </c>
      <c r="BM222" s="4" t="str">
        <f t="shared" si="249"/>
        <v>х</v>
      </c>
      <c r="BN222" s="4" t="str">
        <f t="shared" si="249"/>
        <v>х</v>
      </c>
      <c r="BO222" s="4" t="str">
        <f t="shared" si="249"/>
        <v>х</v>
      </c>
      <c r="BP222" s="4" t="str">
        <f t="shared" si="249"/>
        <v>х</v>
      </c>
      <c r="BQ222" s="4" t="str">
        <f t="shared" si="249"/>
        <v>х</v>
      </c>
      <c r="BR222" s="4" t="str">
        <f>"1964"</f>
        <v>1964</v>
      </c>
      <c r="BS222" s="4" t="str">
        <f>"60,00"</f>
        <v>60,00</v>
      </c>
      <c r="BT222" s="4" t="str">
        <f>"2021-2023"</f>
        <v>2021-2023</v>
      </c>
      <c r="BU222" s="4" t="str">
        <f t="shared" si="237"/>
        <v>нет</v>
      </c>
      <c r="BV222" s="4" t="str">
        <f t="shared" si="245"/>
        <v>x</v>
      </c>
      <c r="BW222" s="4" t="str">
        <f t="shared" si="245"/>
        <v>x</v>
      </c>
      <c r="BX222" s="4" t="str">
        <f t="shared" si="245"/>
        <v>x</v>
      </c>
      <c r="BY222" s="4" t="str">
        <f t="shared" si="229"/>
        <v>нет</v>
      </c>
      <c r="BZ222" s="4" t="str">
        <f t="shared" si="250"/>
        <v>x</v>
      </c>
      <c r="CA222" s="4" t="str">
        <f t="shared" si="250"/>
        <v>x</v>
      </c>
      <c r="CB222" s="4" t="str">
        <f t="shared" si="250"/>
        <v>x</v>
      </c>
      <c r="CC222" s="4" t="str">
        <f>"1964"</f>
        <v>1964</v>
      </c>
      <c r="CD222" s="4" t="str">
        <f>"65,00"</f>
        <v>65,00</v>
      </c>
      <c r="CE222" s="4" t="str">
        <f>"2021-2023"</f>
        <v>2021-2023</v>
      </c>
      <c r="CF222" s="4" t="str">
        <f>"1964"</f>
        <v>1964</v>
      </c>
      <c r="CG222" s="4" t="str">
        <f>"50,00"</f>
        <v>50,00</v>
      </c>
      <c r="CH222" s="4" t="str">
        <f>"2021-2023"</f>
        <v>2021-2023</v>
      </c>
      <c r="CI222" s="4" t="str">
        <f>"58,00"</f>
        <v>58,00</v>
      </c>
      <c r="CJ222" s="4" t="str">
        <f>"2021-2023"</f>
        <v>2021-2023</v>
      </c>
    </row>
    <row r="223" spans="1:88" ht="11.25" customHeight="1">
      <c r="A223" s="45" t="str">
        <f>"24.210"</f>
        <v>24.210</v>
      </c>
      <c r="B223" s="46" t="str">
        <f>"г. Харовск, ул.Спортивная, д.7"</f>
        <v>г. Харовск, ул.Спортивная, д.7</v>
      </c>
      <c r="C223" s="6" t="str">
        <f>"1970"</f>
        <v>1970</v>
      </c>
      <c r="D223" s="4" t="str">
        <f>"1970"</f>
        <v>1970</v>
      </c>
      <c r="E223" s="4" t="str">
        <f>"30,00"</f>
        <v>30,00</v>
      </c>
      <c r="F223" s="4" t="str">
        <f>"2024-2026"</f>
        <v>2024-2026</v>
      </c>
      <c r="G223" s="4" t="str">
        <f t="shared" si="211"/>
        <v>нет</v>
      </c>
      <c r="H223" s="4" t="str">
        <f>""</f>
        <v/>
      </c>
      <c r="I223" s="4" t="str">
        <f>""</f>
        <v/>
      </c>
      <c r="J223" s="4" t="str">
        <f>""</f>
        <v/>
      </c>
      <c r="K223" s="4" t="str">
        <f t="shared" si="235"/>
        <v>нет</v>
      </c>
      <c r="L223" s="4" t="str">
        <f>""</f>
        <v/>
      </c>
      <c r="M223" s="4" t="str">
        <f>""</f>
        <v/>
      </c>
      <c r="N223" s="4" t="str">
        <f>""</f>
        <v/>
      </c>
      <c r="O223" s="7" t="str">
        <f>"1970"</f>
        <v>1970</v>
      </c>
      <c r="P223" s="4" t="str">
        <f>"30,00"</f>
        <v>30,00</v>
      </c>
      <c r="Q223" s="4" t="str">
        <f>"2024-2026"</f>
        <v>2024-2026</v>
      </c>
      <c r="R223" s="4" t="str">
        <f>"нет"</f>
        <v>нет</v>
      </c>
      <c r="S223" s="4" t="str">
        <f>""</f>
        <v/>
      </c>
      <c r="T223" s="4" t="str">
        <f>""</f>
        <v/>
      </c>
      <c r="U223" s="4" t="str">
        <f>"2024-2026"</f>
        <v>2024-2026</v>
      </c>
      <c r="V223" s="4" t="str">
        <f>"нет"</f>
        <v>нет</v>
      </c>
      <c r="W223" s="4" t="str">
        <f>""</f>
        <v/>
      </c>
      <c r="X223" s="4" t="str">
        <f>""</f>
        <v/>
      </c>
      <c r="Y223" s="8" t="str">
        <f>""</f>
        <v/>
      </c>
      <c r="Z223" s="4" t="str">
        <f t="shared" si="242"/>
        <v>х</v>
      </c>
      <c r="AA223" s="4" t="str">
        <f t="shared" si="242"/>
        <v>х</v>
      </c>
      <c r="AB223" s="4" t="str">
        <f t="shared" si="242"/>
        <v>х</v>
      </c>
      <c r="AC223" s="4" t="str">
        <f t="shared" si="242"/>
        <v>х</v>
      </c>
      <c r="AD223" s="4" t="str">
        <f t="shared" si="242"/>
        <v>х</v>
      </c>
      <c r="AE223" s="4" t="str">
        <f t="shared" si="242"/>
        <v>х</v>
      </c>
      <c r="AF223" s="4" t="str">
        <f t="shared" si="242"/>
        <v>х</v>
      </c>
      <c r="AG223" s="4" t="str">
        <f t="shared" si="242"/>
        <v>х</v>
      </c>
      <c r="AH223" s="4" t="str">
        <f t="shared" si="242"/>
        <v>х</v>
      </c>
      <c r="AI223" s="4" t="str">
        <f t="shared" si="242"/>
        <v>х</v>
      </c>
      <c r="AJ223" s="4" t="str">
        <f t="shared" si="242"/>
        <v>х</v>
      </c>
      <c r="AK223" s="7" t="str">
        <f t="shared" si="247"/>
        <v>х</v>
      </c>
      <c r="AL223" s="4" t="str">
        <f t="shared" si="247"/>
        <v>х</v>
      </c>
      <c r="AM223" s="4" t="str">
        <f t="shared" si="247"/>
        <v>х</v>
      </c>
      <c r="AN223" s="4" t="str">
        <f t="shared" si="247"/>
        <v>х</v>
      </c>
      <c r="AO223" s="4" t="str">
        <f t="shared" si="247"/>
        <v>х</v>
      </c>
      <c r="AP223" s="4" t="str">
        <f t="shared" si="247"/>
        <v>х</v>
      </c>
      <c r="AQ223" s="4" t="str">
        <f t="shared" si="247"/>
        <v>х</v>
      </c>
      <c r="AR223" s="4" t="str">
        <f t="shared" si="247"/>
        <v>х</v>
      </c>
      <c r="AS223" s="4" t="str">
        <f t="shared" si="247"/>
        <v>х</v>
      </c>
      <c r="AT223" s="4" t="str">
        <f t="shared" si="247"/>
        <v>х</v>
      </c>
      <c r="AU223" s="4" t="str">
        <f t="shared" si="248"/>
        <v>х</v>
      </c>
      <c r="AV223" s="4" t="str">
        <f t="shared" si="248"/>
        <v>х</v>
      </c>
      <c r="AW223" s="4" t="str">
        <f t="shared" si="248"/>
        <v>х</v>
      </c>
      <c r="AX223" s="4" t="str">
        <f t="shared" si="248"/>
        <v>х</v>
      </c>
      <c r="AY223" s="4" t="str">
        <f t="shared" si="248"/>
        <v>х</v>
      </c>
      <c r="AZ223" s="4" t="str">
        <f t="shared" si="248"/>
        <v>х</v>
      </c>
      <c r="BA223" s="4" t="str">
        <f t="shared" si="248"/>
        <v>х</v>
      </c>
      <c r="BB223" s="4" t="str">
        <f t="shared" si="248"/>
        <v>х</v>
      </c>
      <c r="BC223" s="4" t="str">
        <f t="shared" si="248"/>
        <v>х</v>
      </c>
      <c r="BD223" s="4" t="str">
        <f t="shared" si="248"/>
        <v>х</v>
      </c>
      <c r="BE223" s="4" t="str">
        <f t="shared" si="249"/>
        <v>х</v>
      </c>
      <c r="BF223" s="4" t="str">
        <f t="shared" si="249"/>
        <v>х</v>
      </c>
      <c r="BG223" s="4" t="str">
        <f t="shared" si="249"/>
        <v>х</v>
      </c>
      <c r="BH223" s="4" t="str">
        <f t="shared" si="249"/>
        <v>х</v>
      </c>
      <c r="BI223" s="4" t="str">
        <f t="shared" si="249"/>
        <v>х</v>
      </c>
      <c r="BJ223" s="4" t="str">
        <f t="shared" si="249"/>
        <v>х</v>
      </c>
      <c r="BK223" s="4" t="str">
        <f t="shared" si="249"/>
        <v>х</v>
      </c>
      <c r="BL223" s="4" t="str">
        <f t="shared" si="249"/>
        <v>х</v>
      </c>
      <c r="BM223" s="4" t="str">
        <f t="shared" si="249"/>
        <v>х</v>
      </c>
      <c r="BN223" s="4" t="str">
        <f t="shared" si="249"/>
        <v>х</v>
      </c>
      <c r="BO223" s="4" t="str">
        <f t="shared" si="249"/>
        <v>х</v>
      </c>
      <c r="BP223" s="4" t="str">
        <f t="shared" si="249"/>
        <v>х</v>
      </c>
      <c r="BQ223" s="4" t="str">
        <f t="shared" si="249"/>
        <v>х</v>
      </c>
      <c r="BR223" s="4" t="str">
        <f>"1970"</f>
        <v>1970</v>
      </c>
      <c r="BS223" s="4" t="str">
        <f>"60,00"</f>
        <v>60,00</v>
      </c>
      <c r="BT223" s="4" t="str">
        <f>"2024-2026"</f>
        <v>2024-2026</v>
      </c>
      <c r="BU223" s="4" t="str">
        <f t="shared" si="237"/>
        <v>нет</v>
      </c>
      <c r="BV223" s="4" t="str">
        <f t="shared" si="245"/>
        <v>x</v>
      </c>
      <c r="BW223" s="4" t="str">
        <f t="shared" si="245"/>
        <v>x</v>
      </c>
      <c r="BX223" s="4" t="str">
        <f t="shared" si="245"/>
        <v>x</v>
      </c>
      <c r="BY223" s="4" t="str">
        <f t="shared" si="229"/>
        <v>нет</v>
      </c>
      <c r="BZ223" s="4" t="str">
        <f t="shared" si="250"/>
        <v>x</v>
      </c>
      <c r="CA223" s="4" t="str">
        <f t="shared" si="250"/>
        <v>x</v>
      </c>
      <c r="CB223" s="4" t="str">
        <f t="shared" si="250"/>
        <v>x</v>
      </c>
      <c r="CC223" s="4" t="str">
        <f>"1970"</f>
        <v>1970</v>
      </c>
      <c r="CD223" s="4" t="str">
        <f>"65,00"</f>
        <v>65,00</v>
      </c>
      <c r="CE223" s="4" t="str">
        <f>"2024-2026"</f>
        <v>2024-2026</v>
      </c>
      <c r="CF223" s="4" t="str">
        <f>"1970"</f>
        <v>1970</v>
      </c>
      <c r="CG223" s="4" t="str">
        <f>"50,00"</f>
        <v>50,00</v>
      </c>
      <c r="CH223" s="4" t="str">
        <f>"2024-2026"</f>
        <v>2024-2026</v>
      </c>
      <c r="CI223" s="4" t="str">
        <f>"58,00"</f>
        <v>58,00</v>
      </c>
      <c r="CJ223" s="4" t="str">
        <f>"2024-2026"</f>
        <v>2024-2026</v>
      </c>
    </row>
    <row r="224" spans="1:88" ht="11.25" customHeight="1">
      <c r="A224" s="45" t="str">
        <f>"24.211"</f>
        <v>24.211</v>
      </c>
      <c r="B224" s="46" t="str">
        <f>"г. Харовск, ул.Центральная, д.24"</f>
        <v>г. Харовск, ул.Центральная, д.24</v>
      </c>
      <c r="C224" s="6" t="str">
        <f>"1930"</f>
        <v>1930</v>
      </c>
      <c r="D224" s="4" t="str">
        <f>"1930"</f>
        <v>1930</v>
      </c>
      <c r="E224" s="4" t="str">
        <f>"45,00"</f>
        <v>45,00</v>
      </c>
      <c r="F224" s="4" t="str">
        <f>"2017-2019"</f>
        <v>2017-2019</v>
      </c>
      <c r="G224" s="4" t="str">
        <f t="shared" ref="G224:G246" si="251">"нет"</f>
        <v>нет</v>
      </c>
      <c r="H224" s="4" t="str">
        <f>""</f>
        <v/>
      </c>
      <c r="I224" s="4" t="str">
        <f>""</f>
        <v/>
      </c>
      <c r="J224" s="4" t="str">
        <f>""</f>
        <v/>
      </c>
      <c r="K224" s="4" t="str">
        <f t="shared" si="235"/>
        <v>нет</v>
      </c>
      <c r="L224" s="4" t="str">
        <f>""</f>
        <v/>
      </c>
      <c r="M224" s="4" t="str">
        <f>""</f>
        <v/>
      </c>
      <c r="N224" s="4" t="str">
        <f>""</f>
        <v/>
      </c>
      <c r="O224" s="7" t="str">
        <f t="shared" ref="O224:Y224" si="252">"х"</f>
        <v>х</v>
      </c>
      <c r="P224" s="4" t="str">
        <f t="shared" si="252"/>
        <v>х</v>
      </c>
      <c r="Q224" s="4" t="str">
        <f t="shared" si="252"/>
        <v>х</v>
      </c>
      <c r="R224" s="4" t="str">
        <f t="shared" si="252"/>
        <v>х</v>
      </c>
      <c r="S224" s="4" t="str">
        <f t="shared" si="252"/>
        <v>х</v>
      </c>
      <c r="T224" s="4" t="str">
        <f t="shared" si="252"/>
        <v>х</v>
      </c>
      <c r="U224" s="4" t="str">
        <f t="shared" si="252"/>
        <v>х</v>
      </c>
      <c r="V224" s="4" t="str">
        <f t="shared" si="252"/>
        <v>х</v>
      </c>
      <c r="W224" s="4" t="str">
        <f t="shared" si="252"/>
        <v>х</v>
      </c>
      <c r="X224" s="4" t="str">
        <f t="shared" si="252"/>
        <v>х</v>
      </c>
      <c r="Y224" s="8" t="str">
        <f t="shared" si="252"/>
        <v>х</v>
      </c>
      <c r="Z224" s="4" t="str">
        <f t="shared" si="242"/>
        <v>х</v>
      </c>
      <c r="AA224" s="4" t="str">
        <f t="shared" si="242"/>
        <v>х</v>
      </c>
      <c r="AB224" s="4" t="str">
        <f t="shared" si="242"/>
        <v>х</v>
      </c>
      <c r="AC224" s="4" t="str">
        <f t="shared" si="242"/>
        <v>х</v>
      </c>
      <c r="AD224" s="4" t="str">
        <f t="shared" si="242"/>
        <v>х</v>
      </c>
      <c r="AE224" s="4" t="str">
        <f t="shared" si="242"/>
        <v>х</v>
      </c>
      <c r="AF224" s="4" t="str">
        <f t="shared" si="242"/>
        <v>х</v>
      </c>
      <c r="AG224" s="4" t="str">
        <f t="shared" si="242"/>
        <v>х</v>
      </c>
      <c r="AH224" s="4" t="str">
        <f t="shared" si="242"/>
        <v>х</v>
      </c>
      <c r="AI224" s="4" t="str">
        <f t="shared" si="242"/>
        <v>х</v>
      </c>
      <c r="AJ224" s="4" t="str">
        <f t="shared" si="242"/>
        <v>х</v>
      </c>
      <c r="AK224" s="7" t="str">
        <f t="shared" si="247"/>
        <v>х</v>
      </c>
      <c r="AL224" s="4" t="str">
        <f t="shared" si="247"/>
        <v>х</v>
      </c>
      <c r="AM224" s="4" t="str">
        <f t="shared" si="247"/>
        <v>х</v>
      </c>
      <c r="AN224" s="4" t="str">
        <f t="shared" si="247"/>
        <v>х</v>
      </c>
      <c r="AO224" s="4" t="str">
        <f t="shared" si="247"/>
        <v>х</v>
      </c>
      <c r="AP224" s="4" t="str">
        <f t="shared" si="247"/>
        <v>х</v>
      </c>
      <c r="AQ224" s="4" t="str">
        <f t="shared" si="247"/>
        <v>х</v>
      </c>
      <c r="AR224" s="4" t="str">
        <f t="shared" si="247"/>
        <v>х</v>
      </c>
      <c r="AS224" s="4" t="str">
        <f t="shared" si="247"/>
        <v>х</v>
      </c>
      <c r="AT224" s="4" t="str">
        <f t="shared" si="247"/>
        <v>х</v>
      </c>
      <c r="AU224" s="4" t="str">
        <f t="shared" si="248"/>
        <v>х</v>
      </c>
      <c r="AV224" s="4" t="str">
        <f t="shared" si="248"/>
        <v>х</v>
      </c>
      <c r="AW224" s="4" t="str">
        <f t="shared" si="248"/>
        <v>х</v>
      </c>
      <c r="AX224" s="4" t="str">
        <f t="shared" si="248"/>
        <v>х</v>
      </c>
      <c r="AY224" s="4" t="str">
        <f t="shared" si="248"/>
        <v>х</v>
      </c>
      <c r="AZ224" s="4" t="str">
        <f t="shared" si="248"/>
        <v>х</v>
      </c>
      <c r="BA224" s="4" t="str">
        <f t="shared" si="248"/>
        <v>х</v>
      </c>
      <c r="BB224" s="4" t="str">
        <f t="shared" si="248"/>
        <v>х</v>
      </c>
      <c r="BC224" s="4" t="str">
        <f t="shared" si="248"/>
        <v>х</v>
      </c>
      <c r="BD224" s="4" t="str">
        <f t="shared" si="248"/>
        <v>х</v>
      </c>
      <c r="BE224" s="4" t="str">
        <f t="shared" si="249"/>
        <v>х</v>
      </c>
      <c r="BF224" s="4" t="str">
        <f t="shared" si="249"/>
        <v>х</v>
      </c>
      <c r="BG224" s="4" t="str">
        <f t="shared" si="249"/>
        <v>х</v>
      </c>
      <c r="BH224" s="4" t="str">
        <f t="shared" si="249"/>
        <v>х</v>
      </c>
      <c r="BI224" s="4" t="str">
        <f t="shared" si="249"/>
        <v>х</v>
      </c>
      <c r="BJ224" s="4" t="str">
        <f t="shared" si="249"/>
        <v>х</v>
      </c>
      <c r="BK224" s="4" t="str">
        <f t="shared" si="249"/>
        <v>х</v>
      </c>
      <c r="BL224" s="4" t="str">
        <f t="shared" si="249"/>
        <v>х</v>
      </c>
      <c r="BM224" s="4" t="str">
        <f t="shared" si="249"/>
        <v>х</v>
      </c>
      <c r="BN224" s="4" t="str">
        <f t="shared" si="249"/>
        <v>х</v>
      </c>
      <c r="BO224" s="4" t="str">
        <f t="shared" si="249"/>
        <v>х</v>
      </c>
      <c r="BP224" s="4" t="str">
        <f t="shared" si="249"/>
        <v>х</v>
      </c>
      <c r="BQ224" s="4" t="str">
        <f t="shared" si="249"/>
        <v>х</v>
      </c>
      <c r="BR224" s="4" t="str">
        <f>"1930"</f>
        <v>1930</v>
      </c>
      <c r="BS224" s="4" t="str">
        <f>"55,00"</f>
        <v>55,00</v>
      </c>
      <c r="BT224" s="4" t="str">
        <f>"2017-2019"</f>
        <v>2017-2019</v>
      </c>
      <c r="BU224" s="4" t="str">
        <f t="shared" si="237"/>
        <v>нет</v>
      </c>
      <c r="BV224" s="4" t="str">
        <f t="shared" si="245"/>
        <v>x</v>
      </c>
      <c r="BW224" s="4" t="str">
        <f t="shared" si="245"/>
        <v>x</v>
      </c>
      <c r="BX224" s="4" t="str">
        <f t="shared" si="245"/>
        <v>x</v>
      </c>
      <c r="BY224" s="4" t="str">
        <f t="shared" si="229"/>
        <v>нет</v>
      </c>
      <c r="BZ224" s="4" t="str">
        <f t="shared" si="250"/>
        <v>x</v>
      </c>
      <c r="CA224" s="4" t="str">
        <f t="shared" si="250"/>
        <v>x</v>
      </c>
      <c r="CB224" s="4" t="str">
        <f t="shared" si="250"/>
        <v>x</v>
      </c>
      <c r="CC224" s="4" t="str">
        <f>"1930"</f>
        <v>1930</v>
      </c>
      <c r="CD224" s="4" t="str">
        <f>"55,00"</f>
        <v>55,00</v>
      </c>
      <c r="CE224" s="4" t="str">
        <f>"2017-2019"</f>
        <v>2017-2019</v>
      </c>
      <c r="CF224" s="4" t="str">
        <f>"1930"</f>
        <v>1930</v>
      </c>
      <c r="CG224" s="4" t="str">
        <f>"55,00"</f>
        <v>55,00</v>
      </c>
      <c r="CH224" s="4" t="str">
        <f>"2017-2019"</f>
        <v>2017-2019</v>
      </c>
      <c r="CI224" s="4" t="str">
        <f>"54,00"</f>
        <v>54,00</v>
      </c>
      <c r="CJ224" s="4" t="str">
        <f>"2017-2019"</f>
        <v>2017-2019</v>
      </c>
    </row>
    <row r="225" spans="1:88" ht="11.25" customHeight="1">
      <c r="A225" s="45" t="str">
        <f>"24.212"</f>
        <v>24.212</v>
      </c>
      <c r="B225" s="46" t="str">
        <f>"г. Харовск, ул.Школьная, д.10"</f>
        <v>г. Харовск, ул.Школьная, д.10</v>
      </c>
      <c r="C225" s="6" t="str">
        <f>"1965"</f>
        <v>1965</v>
      </c>
      <c r="D225" s="4" t="str">
        <f>"1965"</f>
        <v>1965</v>
      </c>
      <c r="E225" s="4" t="str">
        <f>"40,00"</f>
        <v>40,00</v>
      </c>
      <c r="F225" s="4" t="str">
        <f>"2022-2024"</f>
        <v>2022-2024</v>
      </c>
      <c r="G225" s="4" t="str">
        <f t="shared" si="251"/>
        <v>нет</v>
      </c>
      <c r="H225" s="4" t="str">
        <f>""</f>
        <v/>
      </c>
      <c r="I225" s="4" t="str">
        <f>""</f>
        <v/>
      </c>
      <c r="J225" s="4" t="str">
        <f>""</f>
        <v/>
      </c>
      <c r="K225" s="4" t="str">
        <f t="shared" si="235"/>
        <v>нет</v>
      </c>
      <c r="L225" s="4" t="str">
        <f>""</f>
        <v/>
      </c>
      <c r="M225" s="4" t="str">
        <f>""</f>
        <v/>
      </c>
      <c r="N225" s="4" t="str">
        <f>""</f>
        <v/>
      </c>
      <c r="O225" s="7" t="str">
        <f>"1965"</f>
        <v>1965</v>
      </c>
      <c r="P225" s="4" t="str">
        <f>"40,00"</f>
        <v>40,00</v>
      </c>
      <c r="Q225" s="4" t="str">
        <f>"2022-2024"</f>
        <v>2022-2024</v>
      </c>
      <c r="R225" s="4" t="str">
        <f>"нет"</f>
        <v>нет</v>
      </c>
      <c r="S225" s="4" t="str">
        <f>""</f>
        <v/>
      </c>
      <c r="T225" s="4" t="str">
        <f>""</f>
        <v/>
      </c>
      <c r="U225" s="4" t="str">
        <f>"2022-2024"</f>
        <v>2022-2024</v>
      </c>
      <c r="V225" s="4" t="str">
        <f t="shared" ref="V225:V256" si="253">"нет"</f>
        <v>нет</v>
      </c>
      <c r="W225" s="4" t="str">
        <f>""</f>
        <v/>
      </c>
      <c r="X225" s="4" t="str">
        <f>""</f>
        <v/>
      </c>
      <c r="Y225" s="8" t="str">
        <f>""</f>
        <v/>
      </c>
      <c r="Z225" s="4" t="str">
        <f>""</f>
        <v/>
      </c>
      <c r="AA225" s="4" t="str">
        <f>""</f>
        <v/>
      </c>
      <c r="AB225" s="4" t="str">
        <f>""</f>
        <v/>
      </c>
      <c r="AC225" s="4" t="str">
        <f>""</f>
        <v/>
      </c>
      <c r="AD225" s="4" t="str">
        <f>""</f>
        <v/>
      </c>
      <c r="AE225" s="4" t="str">
        <f>""</f>
        <v/>
      </c>
      <c r="AF225" s="4" t="str">
        <f>""</f>
        <v/>
      </c>
      <c r="AG225" s="4" t="str">
        <f>""</f>
        <v/>
      </c>
      <c r="AH225" s="4" t="str">
        <f>""</f>
        <v/>
      </c>
      <c r="AI225" s="4" t="str">
        <f>""</f>
        <v/>
      </c>
      <c r="AJ225" s="4" t="str">
        <f>""</f>
        <v/>
      </c>
      <c r="AK225" s="7" t="str">
        <f>"1965"</f>
        <v>1965</v>
      </c>
      <c r="AL225" s="4" t="str">
        <f>"40,00"</f>
        <v>40,00</v>
      </c>
      <c r="AM225" s="4" t="str">
        <f>"2022-2024"</f>
        <v>2022-2024</v>
      </c>
      <c r="AN225" s="4" t="str">
        <f>"нет"</f>
        <v>нет</v>
      </c>
      <c r="AO225" s="4" t="str">
        <f>""</f>
        <v/>
      </c>
      <c r="AP225" s="4" t="str">
        <f>""</f>
        <v/>
      </c>
      <c r="AQ225" s="4" t="str">
        <f>""</f>
        <v/>
      </c>
      <c r="AR225" s="4" t="str">
        <f t="shared" ref="AR225:AR249" si="254">"нет"</f>
        <v>нет</v>
      </c>
      <c r="AS225" s="4" t="str">
        <f>""</f>
        <v/>
      </c>
      <c r="AT225" s="4" t="str">
        <f>""</f>
        <v/>
      </c>
      <c r="AU225" s="4" t="str">
        <f>""</f>
        <v/>
      </c>
      <c r="AV225" s="4" t="str">
        <f>"1965"</f>
        <v>1965</v>
      </c>
      <c r="AW225" s="4" t="str">
        <f>"40,00"</f>
        <v>40,00</v>
      </c>
      <c r="AX225" s="4" t="str">
        <f>"2022-2024"</f>
        <v>2022-2024</v>
      </c>
      <c r="AY225" s="4" t="str">
        <f>"нет"</f>
        <v>нет</v>
      </c>
      <c r="AZ225" s="4" t="str">
        <f>""</f>
        <v/>
      </c>
      <c r="BA225" s="4" t="str">
        <f>""</f>
        <v/>
      </c>
      <c r="BB225" s="4" t="str">
        <f>""</f>
        <v/>
      </c>
      <c r="BC225" s="4" t="str">
        <f t="shared" ref="BC225:BC233" si="255">"нет"</f>
        <v>нет</v>
      </c>
      <c r="BD225" s="4" t="str">
        <f>""</f>
        <v/>
      </c>
      <c r="BE225" s="4" t="str">
        <f>""</f>
        <v/>
      </c>
      <c r="BF225" s="4" t="str">
        <f>""</f>
        <v/>
      </c>
      <c r="BG225" s="4" t="str">
        <f>"1965"</f>
        <v>1965</v>
      </c>
      <c r="BH225" s="4" t="str">
        <f>"40,00"</f>
        <v>40,00</v>
      </c>
      <c r="BI225" s="4" t="str">
        <f>"2022-2024"</f>
        <v>2022-2024</v>
      </c>
      <c r="BJ225" s="4" t="str">
        <f t="shared" ref="BJ225:BJ234" si="256">"нет"</f>
        <v>нет</v>
      </c>
      <c r="BK225" s="4" t="str">
        <f>""</f>
        <v/>
      </c>
      <c r="BL225" s="4" t="str">
        <f>""</f>
        <v/>
      </c>
      <c r="BM225" s="4" t="str">
        <f>""</f>
        <v/>
      </c>
      <c r="BN225" s="4" t="str">
        <f t="shared" ref="BN225:BN234" si="257">"нет"</f>
        <v>нет</v>
      </c>
      <c r="BO225" s="4" t="str">
        <f>""</f>
        <v/>
      </c>
      <c r="BP225" s="4" t="str">
        <f>""</f>
        <v/>
      </c>
      <c r="BQ225" s="4" t="str">
        <f>""</f>
        <v/>
      </c>
      <c r="BR225" s="4" t="str">
        <f>"1965"</f>
        <v>1965</v>
      </c>
      <c r="BS225" s="4" t="str">
        <f>"30,00"</f>
        <v>30,00</v>
      </c>
      <c r="BT225" s="4" t="str">
        <f>"2033-2035"</f>
        <v>2033-2035</v>
      </c>
      <c r="BU225" s="4" t="str">
        <f t="shared" si="237"/>
        <v>нет</v>
      </c>
      <c r="BV225" s="4" t="str">
        <f t="shared" si="245"/>
        <v>x</v>
      </c>
      <c r="BW225" s="4" t="str">
        <f t="shared" si="245"/>
        <v>x</v>
      </c>
      <c r="BX225" s="4" t="str">
        <f t="shared" si="245"/>
        <v>x</v>
      </c>
      <c r="BY225" s="4" t="str">
        <f t="shared" si="229"/>
        <v>нет</v>
      </c>
      <c r="BZ225" s="4" t="str">
        <f t="shared" si="250"/>
        <v>x</v>
      </c>
      <c r="CA225" s="4" t="str">
        <f t="shared" si="250"/>
        <v>x</v>
      </c>
      <c r="CB225" s="4" t="str">
        <f t="shared" si="250"/>
        <v>x</v>
      </c>
      <c r="CC225" s="4" t="str">
        <f>"1965"</f>
        <v>1965</v>
      </c>
      <c r="CD225" s="4" t="str">
        <f>"50,00"</f>
        <v>50,00</v>
      </c>
      <c r="CE225" s="4" t="str">
        <f>"2022-2024"</f>
        <v>2022-2024</v>
      </c>
      <c r="CF225" s="4" t="str">
        <f>"1965"</f>
        <v>1965</v>
      </c>
      <c r="CG225" s="4" t="str">
        <f>"45,00"</f>
        <v>45,00</v>
      </c>
      <c r="CH225" s="4" t="str">
        <f>"2033-2035"</f>
        <v>2033-2035</v>
      </c>
      <c r="CI225" s="4" t="str">
        <f>"45,00"</f>
        <v>45,00</v>
      </c>
      <c r="CJ225" s="4" t="str">
        <f>"2022-2024"</f>
        <v>2022-2024</v>
      </c>
    </row>
    <row r="226" spans="1:88" ht="11.25" customHeight="1">
      <c r="A226" s="45" t="str">
        <f>"24.213"</f>
        <v>24.213</v>
      </c>
      <c r="B226" s="46" t="str">
        <f>"г. Харовск, ул.Школьная, д.11"</f>
        <v>г. Харовск, ул.Школьная, д.11</v>
      </c>
      <c r="C226" s="6" t="str">
        <f>"1961"</f>
        <v>1961</v>
      </c>
      <c r="D226" s="4" t="str">
        <f>"2009"</f>
        <v>2009</v>
      </c>
      <c r="E226" s="4" t="str">
        <f>"0,00"</f>
        <v>0,00</v>
      </c>
      <c r="F226" s="4" t="str">
        <f>"2037-2039"</f>
        <v>2037-2039</v>
      </c>
      <c r="G226" s="4" t="str">
        <f t="shared" si="251"/>
        <v>нет</v>
      </c>
      <c r="H226" s="4" t="str">
        <f>""</f>
        <v/>
      </c>
      <c r="I226" s="4" t="str">
        <f>""</f>
        <v/>
      </c>
      <c r="J226" s="4" t="str">
        <f>""</f>
        <v/>
      </c>
      <c r="K226" s="4" t="str">
        <f t="shared" si="235"/>
        <v>нет</v>
      </c>
      <c r="L226" s="4" t="str">
        <f>""</f>
        <v/>
      </c>
      <c r="M226" s="4" t="str">
        <f>""</f>
        <v/>
      </c>
      <c r="N226" s="4" t="str">
        <f>""</f>
        <v/>
      </c>
      <c r="O226" s="7" t="str">
        <f>"2009"</f>
        <v>2009</v>
      </c>
      <c r="P226" s="4" t="str">
        <f>"0,00"</f>
        <v>0,00</v>
      </c>
      <c r="Q226" s="4" t="str">
        <f>"2037-2039"</f>
        <v>2037-2039</v>
      </c>
      <c r="R226" s="4" t="str">
        <f>"да"</f>
        <v>да</v>
      </c>
      <c r="S226" s="4" t="str">
        <f>"2009"</f>
        <v>2009</v>
      </c>
      <c r="T226" s="4" t="str">
        <f>"75,00"</f>
        <v>75,00</v>
      </c>
      <c r="U226" s="4" t="str">
        <f>"2037-2039"</f>
        <v>2037-2039</v>
      </c>
      <c r="V226" s="4" t="str">
        <f t="shared" si="253"/>
        <v>нет</v>
      </c>
      <c r="W226" s="4" t="str">
        <f>""</f>
        <v/>
      </c>
      <c r="X226" s="4" t="str">
        <f>""</f>
        <v/>
      </c>
      <c r="Y226" s="8" t="str">
        <f>""</f>
        <v/>
      </c>
      <c r="Z226" s="4" t="str">
        <f t="shared" ref="Z226:AJ226" si="258">"х"</f>
        <v>х</v>
      </c>
      <c r="AA226" s="4" t="str">
        <f t="shared" si="258"/>
        <v>х</v>
      </c>
      <c r="AB226" s="4" t="str">
        <f t="shared" si="258"/>
        <v>х</v>
      </c>
      <c r="AC226" s="4" t="str">
        <f t="shared" si="258"/>
        <v>х</v>
      </c>
      <c r="AD226" s="4" t="str">
        <f t="shared" si="258"/>
        <v>х</v>
      </c>
      <c r="AE226" s="4" t="str">
        <f t="shared" si="258"/>
        <v>х</v>
      </c>
      <c r="AF226" s="4" t="str">
        <f t="shared" si="258"/>
        <v>х</v>
      </c>
      <c r="AG226" s="4" t="str">
        <f t="shared" si="258"/>
        <v>х</v>
      </c>
      <c r="AH226" s="4" t="str">
        <f t="shared" si="258"/>
        <v>х</v>
      </c>
      <c r="AI226" s="4" t="str">
        <f t="shared" si="258"/>
        <v>х</v>
      </c>
      <c r="AJ226" s="4" t="str">
        <f t="shared" si="258"/>
        <v>х</v>
      </c>
      <c r="AK226" s="7" t="str">
        <f>"2009"</f>
        <v>2009</v>
      </c>
      <c r="AL226" s="4" t="str">
        <f>"0,00"</f>
        <v>0,00</v>
      </c>
      <c r="AM226" s="4" t="str">
        <f>"2037-2039"</f>
        <v>2037-2039</v>
      </c>
      <c r="AN226" s="4" t="str">
        <f>"да"</f>
        <v>да</v>
      </c>
      <c r="AO226" s="4" t="str">
        <f>"2009"</f>
        <v>2009</v>
      </c>
      <c r="AP226" s="4" t="str">
        <f>"66,00"</f>
        <v>66,00</v>
      </c>
      <c r="AQ226" s="4" t="str">
        <f>"2037-2039"</f>
        <v>2037-2039</v>
      </c>
      <c r="AR226" s="4" t="str">
        <f t="shared" si="254"/>
        <v>нет</v>
      </c>
      <c r="AS226" s="4" t="str">
        <f>""</f>
        <v/>
      </c>
      <c r="AT226" s="4" t="str">
        <f>""</f>
        <v/>
      </c>
      <c r="AU226" s="4" t="str">
        <f>""</f>
        <v/>
      </c>
      <c r="AV226" s="4" t="str">
        <f>"2009"</f>
        <v>2009</v>
      </c>
      <c r="AW226" s="4" t="str">
        <f>"0,00"</f>
        <v>0,00</v>
      </c>
      <c r="AX226" s="4" t="str">
        <f>"2037-2039"</f>
        <v>2037-2039</v>
      </c>
      <c r="AY226" s="4" t="str">
        <f>"да"</f>
        <v>да</v>
      </c>
      <c r="AZ226" s="4" t="str">
        <f>"2009"</f>
        <v>2009</v>
      </c>
      <c r="BA226" s="4" t="str">
        <f>"75,00"</f>
        <v>75,00</v>
      </c>
      <c r="BB226" s="4" t="str">
        <f>"2037-2039"</f>
        <v>2037-2039</v>
      </c>
      <c r="BC226" s="4" t="str">
        <f t="shared" si="255"/>
        <v>нет</v>
      </c>
      <c r="BD226" s="4" t="str">
        <f>""</f>
        <v/>
      </c>
      <c r="BE226" s="4" t="str">
        <f>""</f>
        <v/>
      </c>
      <c r="BF226" s="4" t="str">
        <f>""</f>
        <v/>
      </c>
      <c r="BG226" s="4" t="str">
        <f>"2009"</f>
        <v>2009</v>
      </c>
      <c r="BH226" s="4" t="str">
        <f>"0,00"</f>
        <v>0,00</v>
      </c>
      <c r="BI226" s="4" t="str">
        <f>"2037-2039"</f>
        <v>2037-2039</v>
      </c>
      <c r="BJ226" s="4" t="str">
        <f t="shared" si="256"/>
        <v>нет</v>
      </c>
      <c r="BK226" s="4" t="str">
        <f>""</f>
        <v/>
      </c>
      <c r="BL226" s="4" t="str">
        <f>""</f>
        <v/>
      </c>
      <c r="BM226" s="4" t="str">
        <f>""</f>
        <v/>
      </c>
      <c r="BN226" s="4" t="str">
        <f t="shared" si="257"/>
        <v>нет</v>
      </c>
      <c r="BO226" s="4" t="str">
        <f>""</f>
        <v/>
      </c>
      <c r="BP226" s="4" t="str">
        <f>""</f>
        <v/>
      </c>
      <c r="BQ226" s="4" t="str">
        <f>""</f>
        <v/>
      </c>
      <c r="BR226" s="4" t="str">
        <f>"2009"</f>
        <v>2009</v>
      </c>
      <c r="BS226" s="4" t="str">
        <f>"0,00"</f>
        <v>0,00</v>
      </c>
      <c r="BT226" s="4" t="str">
        <f>"2037-2039"</f>
        <v>2037-2039</v>
      </c>
      <c r="BU226" s="4" t="str">
        <f t="shared" si="237"/>
        <v>нет</v>
      </c>
      <c r="BV226" s="4" t="str">
        <f t="shared" si="245"/>
        <v>x</v>
      </c>
      <c r="BW226" s="4" t="str">
        <f t="shared" si="245"/>
        <v>x</v>
      </c>
      <c r="BX226" s="4" t="str">
        <f t="shared" si="245"/>
        <v>x</v>
      </c>
      <c r="BY226" s="4" t="str">
        <f t="shared" si="229"/>
        <v>нет</v>
      </c>
      <c r="BZ226" s="4" t="str">
        <f t="shared" si="250"/>
        <v>x</v>
      </c>
      <c r="CA226" s="4" t="str">
        <f t="shared" si="250"/>
        <v>x</v>
      </c>
      <c r="CB226" s="4" t="str">
        <f t="shared" si="250"/>
        <v>x</v>
      </c>
      <c r="CC226" s="4" t="str">
        <f>"2009"</f>
        <v>2009</v>
      </c>
      <c r="CD226" s="4" t="str">
        <f>"0,00"</f>
        <v>0,00</v>
      </c>
      <c r="CE226" s="4" t="str">
        <f>"2037-2039"</f>
        <v>2037-2039</v>
      </c>
      <c r="CF226" s="4" t="str">
        <f>"1961"</f>
        <v>1961</v>
      </c>
      <c r="CG226" s="4" t="str">
        <f>"55,00"</f>
        <v>55,00</v>
      </c>
      <c r="CH226" s="4" t="str">
        <f>"2037-2039"</f>
        <v>2037-2039</v>
      </c>
      <c r="CI226" s="4" t="str">
        <f>"49,00"</f>
        <v>49,00</v>
      </c>
      <c r="CJ226" s="4" t="str">
        <f>"2037-2039"</f>
        <v>2037-2039</v>
      </c>
    </row>
    <row r="227" spans="1:88" ht="11.25" customHeight="1">
      <c r="A227" s="45" t="str">
        <f>"24.214"</f>
        <v>24.214</v>
      </c>
      <c r="B227" s="46" t="str">
        <f>"г. Харовск, ул.Школьная, д.12"</f>
        <v>г. Харовск, ул.Школьная, д.12</v>
      </c>
      <c r="C227" s="6" t="str">
        <f>"1965"</f>
        <v>1965</v>
      </c>
      <c r="D227" s="4" t="str">
        <f>"1965"</f>
        <v>1965</v>
      </c>
      <c r="E227" s="4" t="str">
        <f>"55,00"</f>
        <v>55,00</v>
      </c>
      <c r="F227" s="4" t="str">
        <f>"2022-2024"</f>
        <v>2022-2024</v>
      </c>
      <c r="G227" s="4" t="str">
        <f t="shared" si="251"/>
        <v>нет</v>
      </c>
      <c r="H227" s="4" t="str">
        <f>""</f>
        <v/>
      </c>
      <c r="I227" s="4" t="str">
        <f>""</f>
        <v/>
      </c>
      <c r="J227" s="4" t="str">
        <f>""</f>
        <v/>
      </c>
      <c r="K227" s="4" t="str">
        <f t="shared" si="235"/>
        <v>нет</v>
      </c>
      <c r="L227" s="4" t="str">
        <f>""</f>
        <v/>
      </c>
      <c r="M227" s="4" t="str">
        <f>""</f>
        <v/>
      </c>
      <c r="N227" s="4" t="str">
        <f>""</f>
        <v/>
      </c>
      <c r="O227" s="7" t="str">
        <f>"1965"</f>
        <v>1965</v>
      </c>
      <c r="P227" s="4" t="str">
        <f>"55,00"</f>
        <v>55,00</v>
      </c>
      <c r="Q227" s="4" t="str">
        <f>"2022-2024"</f>
        <v>2022-2024</v>
      </c>
      <c r="R227" s="4" t="str">
        <f>"нет"</f>
        <v>нет</v>
      </c>
      <c r="S227" s="4" t="str">
        <f>""</f>
        <v/>
      </c>
      <c r="T227" s="4" t="str">
        <f>""</f>
        <v/>
      </c>
      <c r="U227" s="4" t="str">
        <f>"2022-2024"</f>
        <v>2022-2024</v>
      </c>
      <c r="V227" s="4" t="str">
        <f t="shared" si="253"/>
        <v>нет</v>
      </c>
      <c r="W227" s="4" t="str">
        <f>""</f>
        <v/>
      </c>
      <c r="X227" s="4" t="str">
        <f>""</f>
        <v/>
      </c>
      <c r="Y227" s="8" t="str">
        <f>""</f>
        <v/>
      </c>
      <c r="Z227" s="4" t="str">
        <f>""</f>
        <v/>
      </c>
      <c r="AA227" s="4" t="str">
        <f>""</f>
        <v/>
      </c>
      <c r="AB227" s="4" t="str">
        <f>""</f>
        <v/>
      </c>
      <c r="AC227" s="4" t="str">
        <f>""</f>
        <v/>
      </c>
      <c r="AD227" s="4" t="str">
        <f>""</f>
        <v/>
      </c>
      <c r="AE227" s="4" t="str">
        <f>""</f>
        <v/>
      </c>
      <c r="AF227" s="4" t="str">
        <f>""</f>
        <v/>
      </c>
      <c r="AG227" s="4" t="str">
        <f>""</f>
        <v/>
      </c>
      <c r="AH227" s="4" t="str">
        <f>""</f>
        <v/>
      </c>
      <c r="AI227" s="4" t="str">
        <f>""</f>
        <v/>
      </c>
      <c r="AJ227" s="4" t="str">
        <f>""</f>
        <v/>
      </c>
      <c r="AK227" s="7" t="str">
        <f>"1965"</f>
        <v>1965</v>
      </c>
      <c r="AL227" s="4" t="str">
        <f>"55,00"</f>
        <v>55,00</v>
      </c>
      <c r="AM227" s="4" t="str">
        <f>"2022-2024"</f>
        <v>2022-2024</v>
      </c>
      <c r="AN227" s="4" t="str">
        <f t="shared" ref="AN227:AN232" si="259">"нет"</f>
        <v>нет</v>
      </c>
      <c r="AO227" s="4" t="str">
        <f>""</f>
        <v/>
      </c>
      <c r="AP227" s="4" t="str">
        <f>""</f>
        <v/>
      </c>
      <c r="AQ227" s="4" t="str">
        <f>""</f>
        <v/>
      </c>
      <c r="AR227" s="4" t="str">
        <f t="shared" si="254"/>
        <v>нет</v>
      </c>
      <c r="AS227" s="4" t="str">
        <f>""</f>
        <v/>
      </c>
      <c r="AT227" s="4" t="str">
        <f>""</f>
        <v/>
      </c>
      <c r="AU227" s="4" t="str">
        <f>""</f>
        <v/>
      </c>
      <c r="AV227" s="4" t="str">
        <f>"1965"</f>
        <v>1965</v>
      </c>
      <c r="AW227" s="4" t="str">
        <f>"55,00"</f>
        <v>55,00</v>
      </c>
      <c r="AX227" s="4" t="str">
        <f>"2022-2024"</f>
        <v>2022-2024</v>
      </c>
      <c r="AY227" s="4" t="str">
        <f t="shared" ref="AY227:AY232" si="260">"нет"</f>
        <v>нет</v>
      </c>
      <c r="AZ227" s="4" t="str">
        <f>""</f>
        <v/>
      </c>
      <c r="BA227" s="4" t="str">
        <f>""</f>
        <v/>
      </c>
      <c r="BB227" s="4" t="str">
        <f>""</f>
        <v/>
      </c>
      <c r="BC227" s="4" t="str">
        <f t="shared" si="255"/>
        <v>нет</v>
      </c>
      <c r="BD227" s="4" t="str">
        <f>""</f>
        <v/>
      </c>
      <c r="BE227" s="4" t="str">
        <f>""</f>
        <v/>
      </c>
      <c r="BF227" s="4" t="str">
        <f>""</f>
        <v/>
      </c>
      <c r="BG227" s="4" t="str">
        <f>"1965"</f>
        <v>1965</v>
      </c>
      <c r="BH227" s="4" t="str">
        <f>"55,00"</f>
        <v>55,00</v>
      </c>
      <c r="BI227" s="4" t="str">
        <f>"2022-2024"</f>
        <v>2022-2024</v>
      </c>
      <c r="BJ227" s="4" t="str">
        <f t="shared" si="256"/>
        <v>нет</v>
      </c>
      <c r="BK227" s="4" t="str">
        <f>""</f>
        <v/>
      </c>
      <c r="BL227" s="4" t="str">
        <f>""</f>
        <v/>
      </c>
      <c r="BM227" s="4" t="str">
        <f>""</f>
        <v/>
      </c>
      <c r="BN227" s="4" t="str">
        <f t="shared" si="257"/>
        <v>нет</v>
      </c>
      <c r="BO227" s="4" t="str">
        <f>""</f>
        <v/>
      </c>
      <c r="BP227" s="4" t="str">
        <f>""</f>
        <v/>
      </c>
      <c r="BQ227" s="4" t="str">
        <f>""</f>
        <v/>
      </c>
      <c r="BR227" s="4" t="str">
        <f>"1965"</f>
        <v>1965</v>
      </c>
      <c r="BS227" s="4" t="str">
        <f>"50,00"</f>
        <v>50,00</v>
      </c>
      <c r="BT227" s="4" t="str">
        <f>"2033-2035"</f>
        <v>2033-2035</v>
      </c>
      <c r="BU227" s="4" t="str">
        <f t="shared" si="237"/>
        <v>нет</v>
      </c>
      <c r="BV227" s="4" t="str">
        <f t="shared" si="245"/>
        <v>x</v>
      </c>
      <c r="BW227" s="4" t="str">
        <f t="shared" si="245"/>
        <v>x</v>
      </c>
      <c r="BX227" s="4" t="str">
        <f t="shared" si="245"/>
        <v>x</v>
      </c>
      <c r="BY227" s="4" t="str">
        <f t="shared" si="229"/>
        <v>нет</v>
      </c>
      <c r="BZ227" s="4" t="str">
        <f t="shared" si="250"/>
        <v>x</v>
      </c>
      <c r="CA227" s="4" t="str">
        <f t="shared" si="250"/>
        <v>x</v>
      </c>
      <c r="CB227" s="4" t="str">
        <f t="shared" si="250"/>
        <v>x</v>
      </c>
      <c r="CC227" s="4" t="str">
        <f>"1965"</f>
        <v>1965</v>
      </c>
      <c r="CD227" s="4" t="str">
        <f>"55,00"</f>
        <v>55,00</v>
      </c>
      <c r="CE227" s="4" t="str">
        <f>"2022-2024"</f>
        <v>2022-2024</v>
      </c>
      <c r="CF227" s="4" t="str">
        <f>"1965"</f>
        <v>1965</v>
      </c>
      <c r="CG227" s="4" t="str">
        <f>"50,00"</f>
        <v>50,00</v>
      </c>
      <c r="CH227" s="4" t="str">
        <f>"2033-2035"</f>
        <v>2033-2035</v>
      </c>
      <c r="CI227" s="4" t="str">
        <f>"50,00"</f>
        <v>50,00</v>
      </c>
      <c r="CJ227" s="4" t="str">
        <f>"2022-2024"</f>
        <v>2022-2024</v>
      </c>
    </row>
    <row r="228" spans="1:88" ht="11.25" customHeight="1">
      <c r="A228" s="45" t="str">
        <f>"24.215"</f>
        <v>24.215</v>
      </c>
      <c r="B228" s="46" t="str">
        <f>"г. Харовск, ул.Школьная, д.14"</f>
        <v>г. Харовск, ул.Школьная, д.14</v>
      </c>
      <c r="C228" s="6" t="str">
        <f>"1966"</f>
        <v>1966</v>
      </c>
      <c r="D228" s="4" t="str">
        <f>"1966"</f>
        <v>1966</v>
      </c>
      <c r="E228" s="4" t="str">
        <f>"45,00"</f>
        <v>45,00</v>
      </c>
      <c r="F228" s="4" t="str">
        <f>"2034-2036"</f>
        <v>2034-2036</v>
      </c>
      <c r="G228" s="4" t="str">
        <f t="shared" si="251"/>
        <v>нет</v>
      </c>
      <c r="H228" s="4" t="str">
        <f>""</f>
        <v/>
      </c>
      <c r="I228" s="4" t="str">
        <f>""</f>
        <v/>
      </c>
      <c r="J228" s="4" t="str">
        <f>""</f>
        <v/>
      </c>
      <c r="K228" s="4" t="str">
        <f t="shared" si="235"/>
        <v>нет</v>
      </c>
      <c r="L228" s="4" t="str">
        <f>""</f>
        <v/>
      </c>
      <c r="M228" s="4" t="str">
        <f>""</f>
        <v/>
      </c>
      <c r="N228" s="4" t="str">
        <f>""</f>
        <v/>
      </c>
      <c r="O228" s="7" t="str">
        <f>"1966"</f>
        <v>1966</v>
      </c>
      <c r="P228" s="4" t="str">
        <f>"45,00"</f>
        <v>45,00</v>
      </c>
      <c r="Q228" s="4" t="str">
        <f>"2022-2024"</f>
        <v>2022-2024</v>
      </c>
      <c r="R228" s="4" t="str">
        <f>"нет"</f>
        <v>нет</v>
      </c>
      <c r="S228" s="4" t="str">
        <f>""</f>
        <v/>
      </c>
      <c r="T228" s="4" t="str">
        <f>""</f>
        <v/>
      </c>
      <c r="U228" s="4" t="str">
        <f>"2022-2024"</f>
        <v>2022-2024</v>
      </c>
      <c r="V228" s="4" t="str">
        <f t="shared" si="253"/>
        <v>нет</v>
      </c>
      <c r="W228" s="4" t="str">
        <f>""</f>
        <v/>
      </c>
      <c r="X228" s="4" t="str">
        <f>""</f>
        <v/>
      </c>
      <c r="Y228" s="8" t="str">
        <f>""</f>
        <v/>
      </c>
      <c r="Z228" s="4" t="str">
        <f t="shared" ref="Z228:AJ230" si="261">"х"</f>
        <v>х</v>
      </c>
      <c r="AA228" s="4" t="str">
        <f t="shared" si="261"/>
        <v>х</v>
      </c>
      <c r="AB228" s="4" t="str">
        <f t="shared" si="261"/>
        <v>х</v>
      </c>
      <c r="AC228" s="4" t="str">
        <f t="shared" si="261"/>
        <v>х</v>
      </c>
      <c r="AD228" s="4" t="str">
        <f t="shared" si="261"/>
        <v>х</v>
      </c>
      <c r="AE228" s="4" t="str">
        <f t="shared" si="261"/>
        <v>х</v>
      </c>
      <c r="AF228" s="4" t="str">
        <f t="shared" si="261"/>
        <v>х</v>
      </c>
      <c r="AG228" s="4" t="str">
        <f t="shared" si="261"/>
        <v>х</v>
      </c>
      <c r="AH228" s="4" t="str">
        <f t="shared" si="261"/>
        <v>х</v>
      </c>
      <c r="AI228" s="4" t="str">
        <f t="shared" si="261"/>
        <v>х</v>
      </c>
      <c r="AJ228" s="4" t="str">
        <f t="shared" si="261"/>
        <v>х</v>
      </c>
      <c r="AK228" s="7" t="str">
        <f>"1966"</f>
        <v>1966</v>
      </c>
      <c r="AL228" s="4" t="str">
        <f>"45,00"</f>
        <v>45,00</v>
      </c>
      <c r="AM228" s="4" t="str">
        <f>"2022-2024"</f>
        <v>2022-2024</v>
      </c>
      <c r="AN228" s="4" t="str">
        <f t="shared" si="259"/>
        <v>нет</v>
      </c>
      <c r="AO228" s="4" t="str">
        <f>""</f>
        <v/>
      </c>
      <c r="AP228" s="4" t="str">
        <f>""</f>
        <v/>
      </c>
      <c r="AQ228" s="4" t="str">
        <f>""</f>
        <v/>
      </c>
      <c r="AR228" s="4" t="str">
        <f t="shared" si="254"/>
        <v>нет</v>
      </c>
      <c r="AS228" s="4" t="str">
        <f>""</f>
        <v/>
      </c>
      <c r="AT228" s="4" t="str">
        <f>""</f>
        <v/>
      </c>
      <c r="AU228" s="4" t="str">
        <f>""</f>
        <v/>
      </c>
      <c r="AV228" s="4" t="str">
        <f>"1966"</f>
        <v>1966</v>
      </c>
      <c r="AW228" s="4" t="str">
        <f>"45,00"</f>
        <v>45,00</v>
      </c>
      <c r="AX228" s="4" t="str">
        <f>"2022-2024"</f>
        <v>2022-2024</v>
      </c>
      <c r="AY228" s="4" t="str">
        <f t="shared" si="260"/>
        <v>нет</v>
      </c>
      <c r="AZ228" s="4" t="str">
        <f>""</f>
        <v/>
      </c>
      <c r="BA228" s="4" t="str">
        <f>""</f>
        <v/>
      </c>
      <c r="BB228" s="4" t="str">
        <f>""</f>
        <v/>
      </c>
      <c r="BC228" s="4" t="str">
        <f t="shared" si="255"/>
        <v>нет</v>
      </c>
      <c r="BD228" s="4" t="str">
        <f>""</f>
        <v/>
      </c>
      <c r="BE228" s="4" t="str">
        <f>""</f>
        <v/>
      </c>
      <c r="BF228" s="4" t="str">
        <f>""</f>
        <v/>
      </c>
      <c r="BG228" s="4" t="str">
        <f>"1966"</f>
        <v>1966</v>
      </c>
      <c r="BH228" s="4" t="str">
        <f>"45,00"</f>
        <v>45,00</v>
      </c>
      <c r="BI228" s="4" t="str">
        <f>"2022-2024"</f>
        <v>2022-2024</v>
      </c>
      <c r="BJ228" s="4" t="str">
        <f t="shared" si="256"/>
        <v>нет</v>
      </c>
      <c r="BK228" s="4" t="str">
        <f>""</f>
        <v/>
      </c>
      <c r="BL228" s="4" t="str">
        <f>""</f>
        <v/>
      </c>
      <c r="BM228" s="4" t="str">
        <f>""</f>
        <v/>
      </c>
      <c r="BN228" s="4" t="str">
        <f t="shared" si="257"/>
        <v>нет</v>
      </c>
      <c r="BO228" s="4" t="str">
        <f>""</f>
        <v/>
      </c>
      <c r="BP228" s="4" t="str">
        <f>""</f>
        <v/>
      </c>
      <c r="BQ228" s="4" t="str">
        <f>""</f>
        <v/>
      </c>
      <c r="BR228" s="4" t="str">
        <f>"1966"</f>
        <v>1966</v>
      </c>
      <c r="BS228" s="4" t="str">
        <f>"40,00"</f>
        <v>40,00</v>
      </c>
      <c r="BT228" s="4" t="str">
        <f>"2022-2024"</f>
        <v>2022-2024</v>
      </c>
      <c r="BU228" s="4" t="str">
        <f t="shared" si="237"/>
        <v>нет</v>
      </c>
      <c r="BV228" s="4" t="str">
        <f t="shared" si="245"/>
        <v>x</v>
      </c>
      <c r="BW228" s="4" t="str">
        <f t="shared" si="245"/>
        <v>x</v>
      </c>
      <c r="BX228" s="4" t="str">
        <f t="shared" si="245"/>
        <v>x</v>
      </c>
      <c r="BY228" s="4" t="str">
        <f t="shared" si="229"/>
        <v>нет</v>
      </c>
      <c r="BZ228" s="4" t="str">
        <f t="shared" si="250"/>
        <v>x</v>
      </c>
      <c r="CA228" s="4" t="str">
        <f t="shared" si="250"/>
        <v>x</v>
      </c>
      <c r="CB228" s="4" t="str">
        <f t="shared" si="250"/>
        <v>x</v>
      </c>
      <c r="CC228" s="4" t="str">
        <f>"1966"</f>
        <v>1966</v>
      </c>
      <c r="CD228" s="4" t="str">
        <f>"45,00"</f>
        <v>45,00</v>
      </c>
      <c r="CE228" s="4" t="str">
        <f>"2034-2036"</f>
        <v>2034-2036</v>
      </c>
      <c r="CF228" s="4" t="str">
        <f>"1966"</f>
        <v>1966</v>
      </c>
      <c r="CG228" s="4" t="str">
        <f>"40,00"</f>
        <v>40,00</v>
      </c>
      <c r="CH228" s="4" t="str">
        <f>"2034-2036"</f>
        <v>2034-2036</v>
      </c>
      <c r="CI228" s="4" t="str">
        <f>"46,00"</f>
        <v>46,00</v>
      </c>
      <c r="CJ228" s="4" t="str">
        <f>"2022-2024"</f>
        <v>2022-2024</v>
      </c>
    </row>
    <row r="229" spans="1:88" ht="11.25" customHeight="1">
      <c r="A229" s="45" t="str">
        <f>"24.216"</f>
        <v>24.216</v>
      </c>
      <c r="B229" s="46" t="str">
        <f>"г. Харовск, ул.Школьная, д.16"</f>
        <v>г. Харовск, ул.Школьная, д.16</v>
      </c>
      <c r="C229" s="6" t="str">
        <f>"1966"</f>
        <v>1966</v>
      </c>
      <c r="D229" s="4" t="str">
        <f>"2009"</f>
        <v>2009</v>
      </c>
      <c r="E229" s="4" t="str">
        <f>"0,00"</f>
        <v>0,00</v>
      </c>
      <c r="F229" s="4" t="str">
        <f>"2037-2039"</f>
        <v>2037-2039</v>
      </c>
      <c r="G229" s="4" t="str">
        <f t="shared" si="251"/>
        <v>нет</v>
      </c>
      <c r="H229" s="4" t="str">
        <f>""</f>
        <v/>
      </c>
      <c r="I229" s="4" t="str">
        <f>""</f>
        <v/>
      </c>
      <c r="J229" s="4" t="str">
        <f>""</f>
        <v/>
      </c>
      <c r="K229" s="4" t="str">
        <f t="shared" si="235"/>
        <v>нет</v>
      </c>
      <c r="L229" s="4" t="str">
        <f>""</f>
        <v/>
      </c>
      <c r="M229" s="4" t="str">
        <f>""</f>
        <v/>
      </c>
      <c r="N229" s="4" t="str">
        <f>""</f>
        <v/>
      </c>
      <c r="O229" s="7" t="str">
        <f>"2009"</f>
        <v>2009</v>
      </c>
      <c r="P229" s="4" t="str">
        <f>"0,00"</f>
        <v>0,00</v>
      </c>
      <c r="Q229" s="4" t="str">
        <f>"2037-2039"</f>
        <v>2037-2039</v>
      </c>
      <c r="R229" s="4" t="str">
        <f>"да"</f>
        <v>да</v>
      </c>
      <c r="S229" s="4" t="str">
        <f>"2009"</f>
        <v>2009</v>
      </c>
      <c r="T229" s="4" t="str">
        <f>"75,00"</f>
        <v>75,00</v>
      </c>
      <c r="U229" s="4" t="str">
        <f>"2037-2039"</f>
        <v>2037-2039</v>
      </c>
      <c r="V229" s="4" t="str">
        <f t="shared" si="253"/>
        <v>нет</v>
      </c>
      <c r="W229" s="4" t="str">
        <f>""</f>
        <v/>
      </c>
      <c r="X229" s="4" t="str">
        <f>""</f>
        <v/>
      </c>
      <c r="Y229" s="8" t="str">
        <f>""</f>
        <v/>
      </c>
      <c r="Z229" s="4" t="str">
        <f t="shared" si="261"/>
        <v>х</v>
      </c>
      <c r="AA229" s="4" t="str">
        <f t="shared" si="261"/>
        <v>х</v>
      </c>
      <c r="AB229" s="4" t="str">
        <f t="shared" si="261"/>
        <v>х</v>
      </c>
      <c r="AC229" s="4" t="str">
        <f t="shared" si="261"/>
        <v>х</v>
      </c>
      <c r="AD229" s="4" t="str">
        <f t="shared" si="261"/>
        <v>х</v>
      </c>
      <c r="AE229" s="4" t="str">
        <f t="shared" si="261"/>
        <v>х</v>
      </c>
      <c r="AF229" s="4" t="str">
        <f t="shared" si="261"/>
        <v>х</v>
      </c>
      <c r="AG229" s="4" t="str">
        <f t="shared" si="261"/>
        <v>х</v>
      </c>
      <c r="AH229" s="4" t="str">
        <f t="shared" si="261"/>
        <v>х</v>
      </c>
      <c r="AI229" s="4" t="str">
        <f t="shared" si="261"/>
        <v>х</v>
      </c>
      <c r="AJ229" s="4" t="str">
        <f t="shared" si="261"/>
        <v>х</v>
      </c>
      <c r="AK229" s="7" t="str">
        <f>"2009"</f>
        <v>2009</v>
      </c>
      <c r="AL229" s="4" t="str">
        <f>"0,00"</f>
        <v>0,00</v>
      </c>
      <c r="AM229" s="4" t="str">
        <f>"2037-2039"</f>
        <v>2037-2039</v>
      </c>
      <c r="AN229" s="4" t="str">
        <f t="shared" si="259"/>
        <v>нет</v>
      </c>
      <c r="AO229" s="4" t="str">
        <f>""</f>
        <v/>
      </c>
      <c r="AP229" s="4" t="str">
        <f>""</f>
        <v/>
      </c>
      <c r="AQ229" s="4" t="str">
        <f>""</f>
        <v/>
      </c>
      <c r="AR229" s="4" t="str">
        <f t="shared" si="254"/>
        <v>нет</v>
      </c>
      <c r="AS229" s="4" t="str">
        <f>""</f>
        <v/>
      </c>
      <c r="AT229" s="4" t="str">
        <f>""</f>
        <v/>
      </c>
      <c r="AU229" s="4" t="str">
        <f>""</f>
        <v/>
      </c>
      <c r="AV229" s="4" t="str">
        <f>"2009"</f>
        <v>2009</v>
      </c>
      <c r="AW229" s="4" t="str">
        <f>"0,00"</f>
        <v>0,00</v>
      </c>
      <c r="AX229" s="4" t="str">
        <f>"2037-2039"</f>
        <v>2037-2039</v>
      </c>
      <c r="AY229" s="4" t="str">
        <f t="shared" si="260"/>
        <v>нет</v>
      </c>
      <c r="AZ229" s="4" t="str">
        <f>""</f>
        <v/>
      </c>
      <c r="BA229" s="4" t="str">
        <f>""</f>
        <v/>
      </c>
      <c r="BB229" s="4" t="str">
        <f>""</f>
        <v/>
      </c>
      <c r="BC229" s="4" t="str">
        <f t="shared" si="255"/>
        <v>нет</v>
      </c>
      <c r="BD229" s="4" t="str">
        <f>""</f>
        <v/>
      </c>
      <c r="BE229" s="4" t="str">
        <f>""</f>
        <v/>
      </c>
      <c r="BF229" s="4" t="str">
        <f>""</f>
        <v/>
      </c>
      <c r="BG229" s="4" t="str">
        <f>"2009"</f>
        <v>2009</v>
      </c>
      <c r="BH229" s="4" t="str">
        <f>"0,00"</f>
        <v>0,00</v>
      </c>
      <c r="BI229" s="4" t="str">
        <f>"2037-2039"</f>
        <v>2037-2039</v>
      </c>
      <c r="BJ229" s="4" t="str">
        <f t="shared" si="256"/>
        <v>нет</v>
      </c>
      <c r="BK229" s="4" t="str">
        <f>""</f>
        <v/>
      </c>
      <c r="BL229" s="4" t="str">
        <f>""</f>
        <v/>
      </c>
      <c r="BM229" s="4" t="str">
        <f>""</f>
        <v/>
      </c>
      <c r="BN229" s="4" t="str">
        <f t="shared" si="257"/>
        <v>нет</v>
      </c>
      <c r="BO229" s="4" t="str">
        <f>""</f>
        <v/>
      </c>
      <c r="BP229" s="4" t="str">
        <f>""</f>
        <v/>
      </c>
      <c r="BQ229" s="4" t="str">
        <f>""</f>
        <v/>
      </c>
      <c r="BR229" s="4" t="str">
        <f>"2009"</f>
        <v>2009</v>
      </c>
      <c r="BS229" s="4" t="str">
        <f>"0,00"</f>
        <v>0,00</v>
      </c>
      <c r="BT229" s="4" t="str">
        <f>"2037-2039"</f>
        <v>2037-2039</v>
      </c>
      <c r="BU229" s="4" t="str">
        <f t="shared" si="237"/>
        <v>нет</v>
      </c>
      <c r="BV229" s="4" t="str">
        <f t="shared" si="245"/>
        <v>x</v>
      </c>
      <c r="BW229" s="4" t="str">
        <f t="shared" si="245"/>
        <v>x</v>
      </c>
      <c r="BX229" s="4" t="str">
        <f t="shared" si="245"/>
        <v>x</v>
      </c>
      <c r="BY229" s="4" t="str">
        <f t="shared" si="229"/>
        <v>нет</v>
      </c>
      <c r="BZ229" s="4" t="str">
        <f t="shared" si="250"/>
        <v>x</v>
      </c>
      <c r="CA229" s="4" t="str">
        <f t="shared" si="250"/>
        <v>x</v>
      </c>
      <c r="CB229" s="4" t="str">
        <f t="shared" si="250"/>
        <v>x</v>
      </c>
      <c r="CC229" s="4" t="str">
        <f>"2009"</f>
        <v>2009</v>
      </c>
      <c r="CD229" s="4" t="str">
        <f>"0,00"</f>
        <v>0,00</v>
      </c>
      <c r="CE229" s="4" t="str">
        <f>"2037-2039"</f>
        <v>2037-2039</v>
      </c>
      <c r="CF229" s="4" t="str">
        <f>"1966"</f>
        <v>1966</v>
      </c>
      <c r="CG229" s="4" t="str">
        <f>"40,00"</f>
        <v>40,00</v>
      </c>
      <c r="CH229" s="4" t="str">
        <f>"2037-2039"</f>
        <v>2037-2039</v>
      </c>
      <c r="CI229" s="4" t="str">
        <f>"48,00"</f>
        <v>48,00</v>
      </c>
      <c r="CJ229" s="4" t="str">
        <f>"2037-2039"</f>
        <v>2037-2039</v>
      </c>
    </row>
    <row r="230" spans="1:88" ht="11.25" customHeight="1">
      <c r="A230" s="45" t="str">
        <f>"24.217"</f>
        <v>24.217</v>
      </c>
      <c r="B230" s="46" t="str">
        <f>"г. Харовск, ул.Школьная, д.3"</f>
        <v>г. Харовск, ул.Школьная, д.3</v>
      </c>
      <c r="C230" s="6" t="str">
        <f>"1963"</f>
        <v>1963</v>
      </c>
      <c r="D230" s="4" t="str">
        <f>"1963"</f>
        <v>1963</v>
      </c>
      <c r="E230" s="4" t="str">
        <f>"50,00"</f>
        <v>50,00</v>
      </c>
      <c r="F230" s="4" t="str">
        <f>"2021-2023"</f>
        <v>2021-2023</v>
      </c>
      <c r="G230" s="4" t="str">
        <f t="shared" si="251"/>
        <v>нет</v>
      </c>
      <c r="H230" s="4" t="str">
        <f>""</f>
        <v/>
      </c>
      <c r="I230" s="4" t="str">
        <f>""</f>
        <v/>
      </c>
      <c r="J230" s="4" t="str">
        <f>""</f>
        <v/>
      </c>
      <c r="K230" s="4" t="str">
        <f t="shared" si="235"/>
        <v>нет</v>
      </c>
      <c r="L230" s="4" t="str">
        <f>""</f>
        <v/>
      </c>
      <c r="M230" s="4" t="str">
        <f>""</f>
        <v/>
      </c>
      <c r="N230" s="4" t="str">
        <f>""</f>
        <v/>
      </c>
      <c r="O230" s="7" t="str">
        <f>"1963"</f>
        <v>1963</v>
      </c>
      <c r="P230" s="4" t="str">
        <f>"50,00"</f>
        <v>50,00</v>
      </c>
      <c r="Q230" s="4" t="str">
        <f>"2021-2023"</f>
        <v>2021-2023</v>
      </c>
      <c r="R230" s="4" t="str">
        <f>"нет"</f>
        <v>нет</v>
      </c>
      <c r="S230" s="4" t="str">
        <f>""</f>
        <v/>
      </c>
      <c r="T230" s="4" t="str">
        <f>""</f>
        <v/>
      </c>
      <c r="U230" s="4" t="str">
        <f>"2021-2023"</f>
        <v>2021-2023</v>
      </c>
      <c r="V230" s="4" t="str">
        <f t="shared" si="253"/>
        <v>нет</v>
      </c>
      <c r="W230" s="4" t="str">
        <f>""</f>
        <v/>
      </c>
      <c r="X230" s="4" t="str">
        <f>""</f>
        <v/>
      </c>
      <c r="Y230" s="8" t="str">
        <f>""</f>
        <v/>
      </c>
      <c r="Z230" s="4" t="str">
        <f t="shared" si="261"/>
        <v>х</v>
      </c>
      <c r="AA230" s="4" t="str">
        <f t="shared" si="261"/>
        <v>х</v>
      </c>
      <c r="AB230" s="4" t="str">
        <f t="shared" si="261"/>
        <v>х</v>
      </c>
      <c r="AC230" s="4" t="str">
        <f t="shared" si="261"/>
        <v>х</v>
      </c>
      <c r="AD230" s="4" t="str">
        <f t="shared" si="261"/>
        <v>х</v>
      </c>
      <c r="AE230" s="4" t="str">
        <f t="shared" si="261"/>
        <v>х</v>
      </c>
      <c r="AF230" s="4" t="str">
        <f t="shared" si="261"/>
        <v>х</v>
      </c>
      <c r="AG230" s="4" t="str">
        <f t="shared" si="261"/>
        <v>х</v>
      </c>
      <c r="AH230" s="4" t="str">
        <f t="shared" si="261"/>
        <v>х</v>
      </c>
      <c r="AI230" s="4" t="str">
        <f t="shared" si="261"/>
        <v>х</v>
      </c>
      <c r="AJ230" s="4" t="str">
        <f t="shared" si="261"/>
        <v>х</v>
      </c>
      <c r="AK230" s="7" t="str">
        <f>"1963"</f>
        <v>1963</v>
      </c>
      <c r="AL230" s="4" t="str">
        <f>"50,00"</f>
        <v>50,00</v>
      </c>
      <c r="AM230" s="4" t="str">
        <f>"2021-2023"</f>
        <v>2021-2023</v>
      </c>
      <c r="AN230" s="4" t="str">
        <f t="shared" si="259"/>
        <v>нет</v>
      </c>
      <c r="AO230" s="4" t="str">
        <f>""</f>
        <v/>
      </c>
      <c r="AP230" s="4" t="str">
        <f>""</f>
        <v/>
      </c>
      <c r="AQ230" s="4" t="str">
        <f>""</f>
        <v/>
      </c>
      <c r="AR230" s="4" t="str">
        <f t="shared" si="254"/>
        <v>нет</v>
      </c>
      <c r="AS230" s="4" t="str">
        <f>""</f>
        <v/>
      </c>
      <c r="AT230" s="4" t="str">
        <f>""</f>
        <v/>
      </c>
      <c r="AU230" s="4" t="str">
        <f>""</f>
        <v/>
      </c>
      <c r="AV230" s="4" t="str">
        <f>"1963"</f>
        <v>1963</v>
      </c>
      <c r="AW230" s="4" t="str">
        <f>"50,00"</f>
        <v>50,00</v>
      </c>
      <c r="AX230" s="4" t="str">
        <f>"2021-2023"</f>
        <v>2021-2023</v>
      </c>
      <c r="AY230" s="4" t="str">
        <f t="shared" si="260"/>
        <v>нет</v>
      </c>
      <c r="AZ230" s="4" t="str">
        <f>""</f>
        <v/>
      </c>
      <c r="BA230" s="4" t="str">
        <f>""</f>
        <v/>
      </c>
      <c r="BB230" s="4" t="str">
        <f>""</f>
        <v/>
      </c>
      <c r="BC230" s="4" t="str">
        <f t="shared" si="255"/>
        <v>нет</v>
      </c>
      <c r="BD230" s="4" t="str">
        <f>""</f>
        <v/>
      </c>
      <c r="BE230" s="4" t="str">
        <f>""</f>
        <v/>
      </c>
      <c r="BF230" s="4" t="str">
        <f>""</f>
        <v/>
      </c>
      <c r="BG230" s="4" t="str">
        <f>"1963"</f>
        <v>1963</v>
      </c>
      <c r="BH230" s="4" t="str">
        <f>"50,00"</f>
        <v>50,00</v>
      </c>
      <c r="BI230" s="4" t="str">
        <f>"2021-2023"</f>
        <v>2021-2023</v>
      </c>
      <c r="BJ230" s="4" t="str">
        <f t="shared" si="256"/>
        <v>нет</v>
      </c>
      <c r="BK230" s="4" t="str">
        <f>""</f>
        <v/>
      </c>
      <c r="BL230" s="4" t="str">
        <f>""</f>
        <v/>
      </c>
      <c r="BM230" s="4" t="str">
        <f>""</f>
        <v/>
      </c>
      <c r="BN230" s="4" t="str">
        <f t="shared" si="257"/>
        <v>нет</v>
      </c>
      <c r="BO230" s="4" t="str">
        <f>""</f>
        <v/>
      </c>
      <c r="BP230" s="4" t="str">
        <f>""</f>
        <v/>
      </c>
      <c r="BQ230" s="4" t="str">
        <f>""</f>
        <v/>
      </c>
      <c r="BR230" s="4" t="str">
        <f>"1963"</f>
        <v>1963</v>
      </c>
      <c r="BS230" s="4" t="str">
        <f>"50,00"</f>
        <v>50,00</v>
      </c>
      <c r="BT230" s="4" t="str">
        <f>"2035-2037"</f>
        <v>2035-2037</v>
      </c>
      <c r="BU230" s="4" t="str">
        <f t="shared" si="237"/>
        <v>нет</v>
      </c>
      <c r="BV230" s="4" t="str">
        <f t="shared" si="245"/>
        <v>x</v>
      </c>
      <c r="BW230" s="4" t="str">
        <f t="shared" si="245"/>
        <v>x</v>
      </c>
      <c r="BX230" s="4" t="str">
        <f t="shared" si="245"/>
        <v>x</v>
      </c>
      <c r="BY230" s="4" t="str">
        <f t="shared" si="229"/>
        <v>нет</v>
      </c>
      <c r="BZ230" s="4" t="str">
        <f t="shared" si="250"/>
        <v>x</v>
      </c>
      <c r="CA230" s="4" t="str">
        <f t="shared" si="250"/>
        <v>x</v>
      </c>
      <c r="CB230" s="4" t="str">
        <f t="shared" si="250"/>
        <v>x</v>
      </c>
      <c r="CC230" s="4" t="str">
        <f>"1963"</f>
        <v>1963</v>
      </c>
      <c r="CD230" s="4" t="str">
        <f>"45,00"</f>
        <v>45,00</v>
      </c>
      <c r="CE230" s="4" t="str">
        <f>"2035-2037"</f>
        <v>2035-2037</v>
      </c>
      <c r="CF230" s="4" t="str">
        <f>"1963"</f>
        <v>1963</v>
      </c>
      <c r="CG230" s="4" t="str">
        <f>"40,00"</f>
        <v>40,00</v>
      </c>
      <c r="CH230" s="4" t="str">
        <f>"2035-2037"</f>
        <v>2035-2037</v>
      </c>
      <c r="CI230" s="4" t="str">
        <f>"39,00"</f>
        <v>39,00</v>
      </c>
      <c r="CJ230" s="4" t="str">
        <f>"2021-2023"</f>
        <v>2021-2023</v>
      </c>
    </row>
    <row r="231" spans="1:88" ht="11.25" customHeight="1">
      <c r="A231" s="45" t="str">
        <f>"24.218"</f>
        <v>24.218</v>
      </c>
      <c r="B231" s="46" t="str">
        <f>"г. Харовск, ул.Школьная, д.4"</f>
        <v>г. Харовск, ул.Школьная, д.4</v>
      </c>
      <c r="C231" s="6" t="str">
        <f>"1962"</f>
        <v>1962</v>
      </c>
      <c r="D231" s="4" t="str">
        <f>"1962"</f>
        <v>1962</v>
      </c>
      <c r="E231" s="4" t="str">
        <f>"55,00"</f>
        <v>55,00</v>
      </c>
      <c r="F231" s="4" t="str">
        <f>"2020-2022"</f>
        <v>2020-2022</v>
      </c>
      <c r="G231" s="4" t="str">
        <f t="shared" si="251"/>
        <v>нет</v>
      </c>
      <c r="H231" s="4" t="str">
        <f>""</f>
        <v/>
      </c>
      <c r="I231" s="4" t="str">
        <f>""</f>
        <v/>
      </c>
      <c r="J231" s="4" t="str">
        <f>""</f>
        <v/>
      </c>
      <c r="K231" s="4" t="str">
        <f t="shared" si="235"/>
        <v>нет</v>
      </c>
      <c r="L231" s="4" t="str">
        <f>""</f>
        <v/>
      </c>
      <c r="M231" s="4" t="str">
        <f>""</f>
        <v/>
      </c>
      <c r="N231" s="4" t="str">
        <f>""</f>
        <v/>
      </c>
      <c r="O231" s="7" t="str">
        <f>"1962"</f>
        <v>1962</v>
      </c>
      <c r="P231" s="4" t="str">
        <f>"55,00"</f>
        <v>55,00</v>
      </c>
      <c r="Q231" s="4" t="str">
        <f>"2020-2022"</f>
        <v>2020-2022</v>
      </c>
      <c r="R231" s="4" t="str">
        <f>"нет"</f>
        <v>нет</v>
      </c>
      <c r="S231" s="4" t="str">
        <f>""</f>
        <v/>
      </c>
      <c r="T231" s="4" t="str">
        <f>""</f>
        <v/>
      </c>
      <c r="U231" s="4" t="str">
        <f>"2020-2022"</f>
        <v>2020-2022</v>
      </c>
      <c r="V231" s="4" t="str">
        <f t="shared" si="253"/>
        <v>нет</v>
      </c>
      <c r="W231" s="4" t="str">
        <f>""</f>
        <v/>
      </c>
      <c r="X231" s="4" t="str">
        <f>""</f>
        <v/>
      </c>
      <c r="Y231" s="8" t="str">
        <f>""</f>
        <v/>
      </c>
      <c r="Z231" s="4" t="str">
        <f>""</f>
        <v/>
      </c>
      <c r="AA231" s="4" t="str">
        <f>""</f>
        <v/>
      </c>
      <c r="AB231" s="4" t="str">
        <f>""</f>
        <v/>
      </c>
      <c r="AC231" s="4" t="str">
        <f>""</f>
        <v/>
      </c>
      <c r="AD231" s="4" t="str">
        <f>""</f>
        <v/>
      </c>
      <c r="AE231" s="4" t="str">
        <f>""</f>
        <v/>
      </c>
      <c r="AF231" s="4" t="str">
        <f>""</f>
        <v/>
      </c>
      <c r="AG231" s="4" t="str">
        <f>""</f>
        <v/>
      </c>
      <c r="AH231" s="4" t="str">
        <f>""</f>
        <v/>
      </c>
      <c r="AI231" s="4" t="str">
        <f>""</f>
        <v/>
      </c>
      <c r="AJ231" s="4" t="str">
        <f>""</f>
        <v/>
      </c>
      <c r="AK231" s="7" t="str">
        <f>"1962"</f>
        <v>1962</v>
      </c>
      <c r="AL231" s="4" t="str">
        <f>"55,00"</f>
        <v>55,00</v>
      </c>
      <c r="AM231" s="4" t="str">
        <f>"2020-2022"</f>
        <v>2020-2022</v>
      </c>
      <c r="AN231" s="4" t="str">
        <f t="shared" si="259"/>
        <v>нет</v>
      </c>
      <c r="AO231" s="4" t="str">
        <f>""</f>
        <v/>
      </c>
      <c r="AP231" s="4" t="str">
        <f>""</f>
        <v/>
      </c>
      <c r="AQ231" s="4" t="str">
        <f>""</f>
        <v/>
      </c>
      <c r="AR231" s="4" t="str">
        <f t="shared" si="254"/>
        <v>нет</v>
      </c>
      <c r="AS231" s="4" t="str">
        <f>""</f>
        <v/>
      </c>
      <c r="AT231" s="4" t="str">
        <f>""</f>
        <v/>
      </c>
      <c r="AU231" s="4" t="str">
        <f>""</f>
        <v/>
      </c>
      <c r="AV231" s="4" t="str">
        <f>"1962"</f>
        <v>1962</v>
      </c>
      <c r="AW231" s="4" t="str">
        <f>"55,00"</f>
        <v>55,00</v>
      </c>
      <c r="AX231" s="4" t="str">
        <f>"2020-2022"</f>
        <v>2020-2022</v>
      </c>
      <c r="AY231" s="4" t="str">
        <f t="shared" si="260"/>
        <v>нет</v>
      </c>
      <c r="AZ231" s="4" t="str">
        <f>""</f>
        <v/>
      </c>
      <c r="BA231" s="4" t="str">
        <f>""</f>
        <v/>
      </c>
      <c r="BB231" s="4" t="str">
        <f>""</f>
        <v/>
      </c>
      <c r="BC231" s="4" t="str">
        <f t="shared" si="255"/>
        <v>нет</v>
      </c>
      <c r="BD231" s="4" t="str">
        <f>""</f>
        <v/>
      </c>
      <c r="BE231" s="4" t="str">
        <f>""</f>
        <v/>
      </c>
      <c r="BF231" s="4" t="str">
        <f>""</f>
        <v/>
      </c>
      <c r="BG231" s="4" t="str">
        <f>"1962"</f>
        <v>1962</v>
      </c>
      <c r="BH231" s="4" t="str">
        <f>"55,00"</f>
        <v>55,00</v>
      </c>
      <c r="BI231" s="4" t="str">
        <f>"2020-2022"</f>
        <v>2020-2022</v>
      </c>
      <c r="BJ231" s="4" t="str">
        <f t="shared" si="256"/>
        <v>нет</v>
      </c>
      <c r="BK231" s="4" t="str">
        <f>""</f>
        <v/>
      </c>
      <c r="BL231" s="4" t="str">
        <f>""</f>
        <v/>
      </c>
      <c r="BM231" s="4" t="str">
        <f>""</f>
        <v/>
      </c>
      <c r="BN231" s="4" t="str">
        <f t="shared" si="257"/>
        <v>нет</v>
      </c>
      <c r="BO231" s="4" t="str">
        <f>""</f>
        <v/>
      </c>
      <c r="BP231" s="4" t="str">
        <f>""</f>
        <v/>
      </c>
      <c r="BQ231" s="4" t="str">
        <f>""</f>
        <v/>
      </c>
      <c r="BR231" s="4" t="str">
        <f>"1962"</f>
        <v>1962</v>
      </c>
      <c r="BS231" s="4" t="str">
        <f>"55,00"</f>
        <v>55,00</v>
      </c>
      <c r="BT231" s="4" t="str">
        <f>"2035-2037"</f>
        <v>2035-2037</v>
      </c>
      <c r="BU231" s="4" t="str">
        <f t="shared" si="237"/>
        <v>нет</v>
      </c>
      <c r="BV231" s="4" t="str">
        <f t="shared" si="245"/>
        <v>x</v>
      </c>
      <c r="BW231" s="4" t="str">
        <f t="shared" si="245"/>
        <v>x</v>
      </c>
      <c r="BX231" s="4" t="str">
        <f t="shared" si="245"/>
        <v>x</v>
      </c>
      <c r="BY231" s="4" t="str">
        <f t="shared" si="229"/>
        <v>нет</v>
      </c>
      <c r="BZ231" s="4" t="str">
        <f t="shared" si="250"/>
        <v>x</v>
      </c>
      <c r="CA231" s="4" t="str">
        <f t="shared" si="250"/>
        <v>x</v>
      </c>
      <c r="CB231" s="4" t="str">
        <f t="shared" si="250"/>
        <v>x</v>
      </c>
      <c r="CC231" s="4" t="str">
        <f>"1962"</f>
        <v>1962</v>
      </c>
      <c r="CD231" s="4" t="str">
        <f>"50,00"</f>
        <v>50,00</v>
      </c>
      <c r="CE231" s="4" t="str">
        <f>"2035-2037"</f>
        <v>2035-2037</v>
      </c>
      <c r="CF231" s="4" t="str">
        <f>"1962"</f>
        <v>1962</v>
      </c>
      <c r="CG231" s="4" t="str">
        <f>"50,00"</f>
        <v>50,00</v>
      </c>
      <c r="CH231" s="4" t="str">
        <f>"2035-2037"</f>
        <v>2035-2037</v>
      </c>
      <c r="CI231" s="4" t="str">
        <f>"50,00"</f>
        <v>50,00</v>
      </c>
      <c r="CJ231" s="4" t="str">
        <f>"2020-2022"</f>
        <v>2020-2022</v>
      </c>
    </row>
    <row r="232" spans="1:88" ht="11.25" customHeight="1">
      <c r="A232" s="45" t="str">
        <f>"24.219"</f>
        <v>24.219</v>
      </c>
      <c r="B232" s="46" t="str">
        <f>"г. Харовск, ул.Школьная, д.8"</f>
        <v>г. Харовск, ул.Школьная, д.8</v>
      </c>
      <c r="C232" s="6" t="str">
        <f>"1963"</f>
        <v>1963</v>
      </c>
      <c r="D232" s="4" t="str">
        <f>"1963"</f>
        <v>1963</v>
      </c>
      <c r="E232" s="4" t="str">
        <f>"50,00"</f>
        <v>50,00</v>
      </c>
      <c r="F232" s="4" t="str">
        <f>"2021-2023"</f>
        <v>2021-2023</v>
      </c>
      <c r="G232" s="4" t="str">
        <f t="shared" si="251"/>
        <v>нет</v>
      </c>
      <c r="H232" s="4" t="str">
        <f>""</f>
        <v/>
      </c>
      <c r="I232" s="4" t="str">
        <f>""</f>
        <v/>
      </c>
      <c r="J232" s="4" t="str">
        <f>""</f>
        <v/>
      </c>
      <c r="K232" s="4" t="str">
        <f t="shared" si="235"/>
        <v>нет</v>
      </c>
      <c r="L232" s="4" t="str">
        <f>""</f>
        <v/>
      </c>
      <c r="M232" s="4" t="str">
        <f>""</f>
        <v/>
      </c>
      <c r="N232" s="4" t="str">
        <f>""</f>
        <v/>
      </c>
      <c r="O232" s="7" t="str">
        <f>"1963"</f>
        <v>1963</v>
      </c>
      <c r="P232" s="4" t="str">
        <f>"50,00"</f>
        <v>50,00</v>
      </c>
      <c r="Q232" s="4" t="str">
        <f>"2021-2023"</f>
        <v>2021-2023</v>
      </c>
      <c r="R232" s="4" t="str">
        <f>"нет"</f>
        <v>нет</v>
      </c>
      <c r="S232" s="4" t="str">
        <f>""</f>
        <v/>
      </c>
      <c r="T232" s="4" t="str">
        <f>""</f>
        <v/>
      </c>
      <c r="U232" s="4" t="str">
        <f>"2021-2023"</f>
        <v>2021-2023</v>
      </c>
      <c r="V232" s="4" t="str">
        <f t="shared" si="253"/>
        <v>нет</v>
      </c>
      <c r="W232" s="4" t="str">
        <f>""</f>
        <v/>
      </c>
      <c r="X232" s="4" t="str">
        <f>""</f>
        <v/>
      </c>
      <c r="Y232" s="8" t="str">
        <f>""</f>
        <v/>
      </c>
      <c r="Z232" s="4" t="str">
        <f t="shared" ref="Z232:AJ243" si="262">"х"</f>
        <v>х</v>
      </c>
      <c r="AA232" s="4" t="str">
        <f t="shared" si="262"/>
        <v>х</v>
      </c>
      <c r="AB232" s="4" t="str">
        <f t="shared" si="262"/>
        <v>х</v>
      </c>
      <c r="AC232" s="4" t="str">
        <f t="shared" si="262"/>
        <v>х</v>
      </c>
      <c r="AD232" s="4" t="str">
        <f t="shared" si="262"/>
        <v>х</v>
      </c>
      <c r="AE232" s="4" t="str">
        <f t="shared" si="262"/>
        <v>х</v>
      </c>
      <c r="AF232" s="4" t="str">
        <f t="shared" si="262"/>
        <v>х</v>
      </c>
      <c r="AG232" s="4" t="str">
        <f t="shared" si="262"/>
        <v>х</v>
      </c>
      <c r="AH232" s="4" t="str">
        <f t="shared" si="262"/>
        <v>х</v>
      </c>
      <c r="AI232" s="4" t="str">
        <f t="shared" si="262"/>
        <v>х</v>
      </c>
      <c r="AJ232" s="4" t="str">
        <f t="shared" si="262"/>
        <v>х</v>
      </c>
      <c r="AK232" s="7" t="str">
        <f>"1963"</f>
        <v>1963</v>
      </c>
      <c r="AL232" s="4" t="str">
        <f>"50,00"</f>
        <v>50,00</v>
      </c>
      <c r="AM232" s="4" t="str">
        <f>"2034-2036"</f>
        <v>2034-2036</v>
      </c>
      <c r="AN232" s="4" t="str">
        <f t="shared" si="259"/>
        <v>нет</v>
      </c>
      <c r="AO232" s="4" t="str">
        <f>""</f>
        <v/>
      </c>
      <c r="AP232" s="4" t="str">
        <f>""</f>
        <v/>
      </c>
      <c r="AQ232" s="4" t="str">
        <f>""</f>
        <v/>
      </c>
      <c r="AR232" s="4" t="str">
        <f t="shared" si="254"/>
        <v>нет</v>
      </c>
      <c r="AS232" s="4" t="str">
        <f>""</f>
        <v/>
      </c>
      <c r="AT232" s="4" t="str">
        <f>""</f>
        <v/>
      </c>
      <c r="AU232" s="4" t="str">
        <f>""</f>
        <v/>
      </c>
      <c r="AV232" s="4" t="str">
        <f>"1963"</f>
        <v>1963</v>
      </c>
      <c r="AW232" s="4" t="str">
        <f>"50,00"</f>
        <v>50,00</v>
      </c>
      <c r="AX232" s="4" t="str">
        <f>"2034-2036"</f>
        <v>2034-2036</v>
      </c>
      <c r="AY232" s="4" t="str">
        <f t="shared" si="260"/>
        <v>нет</v>
      </c>
      <c r="AZ232" s="4" t="str">
        <f>""</f>
        <v/>
      </c>
      <c r="BA232" s="4" t="str">
        <f>""</f>
        <v/>
      </c>
      <c r="BB232" s="4" t="str">
        <f>""</f>
        <v/>
      </c>
      <c r="BC232" s="4" t="str">
        <f t="shared" si="255"/>
        <v>нет</v>
      </c>
      <c r="BD232" s="4" t="str">
        <f>""</f>
        <v/>
      </c>
      <c r="BE232" s="4" t="str">
        <f>""</f>
        <v/>
      </c>
      <c r="BF232" s="4" t="str">
        <f>""</f>
        <v/>
      </c>
      <c r="BG232" s="4" t="str">
        <f>"1963"</f>
        <v>1963</v>
      </c>
      <c r="BH232" s="4" t="str">
        <f>"50,00"</f>
        <v>50,00</v>
      </c>
      <c r="BI232" s="4" t="str">
        <f>"2034-2036"</f>
        <v>2034-2036</v>
      </c>
      <c r="BJ232" s="4" t="str">
        <f t="shared" si="256"/>
        <v>нет</v>
      </c>
      <c r="BK232" s="4" t="str">
        <f>""</f>
        <v/>
      </c>
      <c r="BL232" s="4" t="str">
        <f>""</f>
        <v/>
      </c>
      <c r="BM232" s="4" t="str">
        <f>""</f>
        <v/>
      </c>
      <c r="BN232" s="4" t="str">
        <f t="shared" si="257"/>
        <v>нет</v>
      </c>
      <c r="BO232" s="4" t="str">
        <f>""</f>
        <v/>
      </c>
      <c r="BP232" s="4" t="str">
        <f>""</f>
        <v/>
      </c>
      <c r="BQ232" s="4" t="str">
        <f>""</f>
        <v/>
      </c>
      <c r="BR232" s="4" t="str">
        <f>"1963"</f>
        <v>1963</v>
      </c>
      <c r="BS232" s="4" t="str">
        <f>"45,00"</f>
        <v>45,00</v>
      </c>
      <c r="BT232" s="4" t="str">
        <f>"2021-2023"</f>
        <v>2021-2023</v>
      </c>
      <c r="BU232" s="4" t="str">
        <f t="shared" si="237"/>
        <v>нет</v>
      </c>
      <c r="BV232" s="4" t="str">
        <f t="shared" si="245"/>
        <v>x</v>
      </c>
      <c r="BW232" s="4" t="str">
        <f t="shared" si="245"/>
        <v>x</v>
      </c>
      <c r="BX232" s="4" t="str">
        <f t="shared" si="245"/>
        <v>x</v>
      </c>
      <c r="BY232" s="4" t="str">
        <f t="shared" si="229"/>
        <v>нет</v>
      </c>
      <c r="BZ232" s="4" t="str">
        <f t="shared" si="250"/>
        <v>x</v>
      </c>
      <c r="CA232" s="4" t="str">
        <f t="shared" si="250"/>
        <v>x</v>
      </c>
      <c r="CB232" s="4" t="str">
        <f t="shared" si="250"/>
        <v>x</v>
      </c>
      <c r="CC232" s="4" t="str">
        <f>"1963"</f>
        <v>1963</v>
      </c>
      <c r="CD232" s="4" t="str">
        <f>"45,00"</f>
        <v>45,00</v>
      </c>
      <c r="CE232" s="4" t="str">
        <f>"2021-2023"</f>
        <v>2021-2023</v>
      </c>
      <c r="CF232" s="4" t="str">
        <f>"1963"</f>
        <v>1963</v>
      </c>
      <c r="CG232" s="4" t="str">
        <f>"45,00"</f>
        <v>45,00</v>
      </c>
      <c r="CH232" s="4" t="str">
        <f>"2034-2036"</f>
        <v>2034-2036</v>
      </c>
      <c r="CI232" s="4" t="str">
        <f>"50,00"</f>
        <v>50,00</v>
      </c>
      <c r="CJ232" s="4" t="str">
        <f>"2021-2023"</f>
        <v>2021-2023</v>
      </c>
    </row>
    <row r="233" spans="1:88" ht="11.25" customHeight="1">
      <c r="A233" s="45" t="str">
        <f>"24.220"</f>
        <v>24.220</v>
      </c>
      <c r="B233" s="46" t="str">
        <f>"г. Харовск, ул.Школьная, д.9"</f>
        <v>г. Харовск, ул.Школьная, д.9</v>
      </c>
      <c r="C233" s="6" t="str">
        <f>"1963"</f>
        <v>1963</v>
      </c>
      <c r="D233" s="4" t="str">
        <f>"2009"</f>
        <v>2009</v>
      </c>
      <c r="E233" s="4" t="str">
        <f>"0,00"</f>
        <v>0,00</v>
      </c>
      <c r="F233" s="4" t="str">
        <f>"2037-2039"</f>
        <v>2037-2039</v>
      </c>
      <c r="G233" s="4" t="str">
        <f t="shared" si="251"/>
        <v>нет</v>
      </c>
      <c r="H233" s="4" t="str">
        <f>""</f>
        <v/>
      </c>
      <c r="I233" s="4" t="str">
        <f>""</f>
        <v/>
      </c>
      <c r="J233" s="4" t="str">
        <f>""</f>
        <v/>
      </c>
      <c r="K233" s="4" t="str">
        <f t="shared" si="235"/>
        <v>нет</v>
      </c>
      <c r="L233" s="4" t="str">
        <f>""</f>
        <v/>
      </c>
      <c r="M233" s="4" t="str">
        <f>""</f>
        <v/>
      </c>
      <c r="N233" s="4" t="str">
        <f>""</f>
        <v/>
      </c>
      <c r="O233" s="7" t="str">
        <f>"2009"</f>
        <v>2009</v>
      </c>
      <c r="P233" s="4" t="str">
        <f>"0,00"</f>
        <v>0,00</v>
      </c>
      <c r="Q233" s="4" t="str">
        <f>"2037-2039"</f>
        <v>2037-2039</v>
      </c>
      <c r="R233" s="4" t="str">
        <f>"да"</f>
        <v>да</v>
      </c>
      <c r="S233" s="4" t="str">
        <f>"2009"</f>
        <v>2009</v>
      </c>
      <c r="T233" s="4" t="str">
        <f>"75,00"</f>
        <v>75,00</v>
      </c>
      <c r="U233" s="4" t="str">
        <f>"2037-2039"</f>
        <v>2037-2039</v>
      </c>
      <c r="V233" s="4" t="str">
        <f t="shared" si="253"/>
        <v>нет</v>
      </c>
      <c r="W233" s="4" t="str">
        <f>""</f>
        <v/>
      </c>
      <c r="X233" s="4" t="str">
        <f>""</f>
        <v/>
      </c>
      <c r="Y233" s="8" t="str">
        <f>""</f>
        <v/>
      </c>
      <c r="Z233" s="4" t="str">
        <f t="shared" si="262"/>
        <v>х</v>
      </c>
      <c r="AA233" s="4" t="str">
        <f t="shared" si="262"/>
        <v>х</v>
      </c>
      <c r="AB233" s="4" t="str">
        <f t="shared" si="262"/>
        <v>х</v>
      </c>
      <c r="AC233" s="4" t="str">
        <f t="shared" si="262"/>
        <v>х</v>
      </c>
      <c r="AD233" s="4" t="str">
        <f t="shared" si="262"/>
        <v>х</v>
      </c>
      <c r="AE233" s="4" t="str">
        <f t="shared" si="262"/>
        <v>х</v>
      </c>
      <c r="AF233" s="4" t="str">
        <f t="shared" si="262"/>
        <v>х</v>
      </c>
      <c r="AG233" s="4" t="str">
        <f t="shared" si="262"/>
        <v>х</v>
      </c>
      <c r="AH233" s="4" t="str">
        <f t="shared" si="262"/>
        <v>х</v>
      </c>
      <c r="AI233" s="4" t="str">
        <f t="shared" si="262"/>
        <v>х</v>
      </c>
      <c r="AJ233" s="4" t="str">
        <f t="shared" si="262"/>
        <v>х</v>
      </c>
      <c r="AK233" s="7" t="str">
        <f>"2009"</f>
        <v>2009</v>
      </c>
      <c r="AL233" s="4" t="str">
        <f>"0,00"</f>
        <v>0,00</v>
      </c>
      <c r="AM233" s="4" t="str">
        <f>"2037-2039"</f>
        <v>2037-2039</v>
      </c>
      <c r="AN233" s="4" t="str">
        <f>"да"</f>
        <v>да</v>
      </c>
      <c r="AO233" s="4" t="str">
        <f>"2009"</f>
        <v>2009</v>
      </c>
      <c r="AP233" s="4" t="str">
        <f>"66,00"</f>
        <v>66,00</v>
      </c>
      <c r="AQ233" s="4" t="str">
        <f>"2037-2039"</f>
        <v>2037-2039</v>
      </c>
      <c r="AR233" s="4" t="str">
        <f t="shared" si="254"/>
        <v>нет</v>
      </c>
      <c r="AS233" s="4" t="str">
        <f>""</f>
        <v/>
      </c>
      <c r="AT233" s="4" t="str">
        <f>""</f>
        <v/>
      </c>
      <c r="AU233" s="4" t="str">
        <f>""</f>
        <v/>
      </c>
      <c r="AV233" s="4" t="str">
        <f>"2009"</f>
        <v>2009</v>
      </c>
      <c r="AW233" s="4" t="str">
        <f>"0,00"</f>
        <v>0,00</v>
      </c>
      <c r="AX233" s="4" t="str">
        <f>"2037-2039"</f>
        <v>2037-2039</v>
      </c>
      <c r="AY233" s="4" t="str">
        <f>"да"</f>
        <v>да</v>
      </c>
      <c r="AZ233" s="4" t="str">
        <f>"2009"</f>
        <v>2009</v>
      </c>
      <c r="BA233" s="4" t="str">
        <f>"75,00"</f>
        <v>75,00</v>
      </c>
      <c r="BB233" s="4" t="str">
        <f>"2037-2039"</f>
        <v>2037-2039</v>
      </c>
      <c r="BC233" s="4" t="str">
        <f t="shared" si="255"/>
        <v>нет</v>
      </c>
      <c r="BD233" s="4" t="str">
        <f>""</f>
        <v/>
      </c>
      <c r="BE233" s="4" t="str">
        <f>""</f>
        <v/>
      </c>
      <c r="BF233" s="4" t="str">
        <f>""</f>
        <v/>
      </c>
      <c r="BG233" s="4" t="str">
        <f>"2009"</f>
        <v>2009</v>
      </c>
      <c r="BH233" s="4" t="str">
        <f>"0,00"</f>
        <v>0,00</v>
      </c>
      <c r="BI233" s="4" t="str">
        <f>"2037-2039"</f>
        <v>2037-2039</v>
      </c>
      <c r="BJ233" s="4" t="str">
        <f t="shared" si="256"/>
        <v>нет</v>
      </c>
      <c r="BK233" s="4" t="str">
        <f>""</f>
        <v/>
      </c>
      <c r="BL233" s="4" t="str">
        <f>""</f>
        <v/>
      </c>
      <c r="BM233" s="4" t="str">
        <f>""</f>
        <v/>
      </c>
      <c r="BN233" s="4" t="str">
        <f t="shared" si="257"/>
        <v>нет</v>
      </c>
      <c r="BO233" s="4" t="str">
        <f>""</f>
        <v/>
      </c>
      <c r="BP233" s="4" t="str">
        <f>""</f>
        <v/>
      </c>
      <c r="BQ233" s="4" t="str">
        <f>""</f>
        <v/>
      </c>
      <c r="BR233" s="4" t="str">
        <f>"2009"</f>
        <v>2009</v>
      </c>
      <c r="BS233" s="4" t="str">
        <f>"0,00"</f>
        <v>0,00</v>
      </c>
      <c r="BT233" s="4" t="str">
        <f>"2037-2039"</f>
        <v>2037-2039</v>
      </c>
      <c r="BU233" s="4" t="str">
        <f t="shared" si="237"/>
        <v>нет</v>
      </c>
      <c r="BV233" s="4" t="str">
        <f t="shared" si="245"/>
        <v>x</v>
      </c>
      <c r="BW233" s="4" t="str">
        <f t="shared" si="245"/>
        <v>x</v>
      </c>
      <c r="BX233" s="4" t="str">
        <f t="shared" si="245"/>
        <v>x</v>
      </c>
      <c r="BY233" s="4" t="str">
        <f t="shared" si="229"/>
        <v>нет</v>
      </c>
      <c r="BZ233" s="4" t="str">
        <f t="shared" si="250"/>
        <v>x</v>
      </c>
      <c r="CA233" s="4" t="str">
        <f t="shared" si="250"/>
        <v>x</v>
      </c>
      <c r="CB233" s="4" t="str">
        <f t="shared" si="250"/>
        <v>x</v>
      </c>
      <c r="CC233" s="4" t="str">
        <f>"2009"</f>
        <v>2009</v>
      </c>
      <c r="CD233" s="4" t="str">
        <f>"0,00"</f>
        <v>0,00</v>
      </c>
      <c r="CE233" s="4" t="str">
        <f>"2037-2039"</f>
        <v>2037-2039</v>
      </c>
      <c r="CF233" s="4" t="str">
        <f>"1963"</f>
        <v>1963</v>
      </c>
      <c r="CG233" s="4" t="str">
        <f>"50,00"</f>
        <v>50,00</v>
      </c>
      <c r="CH233" s="4" t="str">
        <f>"2037-2039"</f>
        <v>2037-2039</v>
      </c>
      <c r="CI233" s="4" t="str">
        <f>"41,00"</f>
        <v>41,00</v>
      </c>
      <c r="CJ233" s="4" t="str">
        <f>"2037-2039"</f>
        <v>2037-2039</v>
      </c>
    </row>
    <row r="234" spans="1:88" ht="11.25" customHeight="1">
      <c r="A234" s="45" t="str">
        <f>"24.221"</f>
        <v>24.221</v>
      </c>
      <c r="B234" s="46" t="str">
        <f>"г. Харовск, ул.Энергетиков, д.10"</f>
        <v>г. Харовск, ул.Энергетиков, д.10</v>
      </c>
      <c r="C234" s="6" t="str">
        <f>"1957"</f>
        <v>1957</v>
      </c>
      <c r="D234" s="4" t="str">
        <f>"1957"</f>
        <v>1957</v>
      </c>
      <c r="E234" s="4" t="str">
        <f>"50,00"</f>
        <v>50,00</v>
      </c>
      <c r="F234" s="4" t="str">
        <f>"2038-2040"</f>
        <v>2038-2040</v>
      </c>
      <c r="G234" s="4" t="str">
        <f t="shared" si="251"/>
        <v>нет</v>
      </c>
      <c r="H234" s="4" t="str">
        <f>""</f>
        <v/>
      </c>
      <c r="I234" s="4" t="str">
        <f>""</f>
        <v/>
      </c>
      <c r="J234" s="4" t="str">
        <f>""</f>
        <v/>
      </c>
      <c r="K234" s="4" t="str">
        <f t="shared" si="235"/>
        <v>нет</v>
      </c>
      <c r="L234" s="4" t="str">
        <f>""</f>
        <v/>
      </c>
      <c r="M234" s="4" t="str">
        <f>""</f>
        <v/>
      </c>
      <c r="N234" s="4" t="str">
        <f>""</f>
        <v/>
      </c>
      <c r="O234" s="7" t="str">
        <f>"2010"</f>
        <v>2010</v>
      </c>
      <c r="P234" s="4" t="str">
        <f>"0,00"</f>
        <v>0,00</v>
      </c>
      <c r="Q234" s="4" t="str">
        <f>"2038-2040"</f>
        <v>2038-2040</v>
      </c>
      <c r="R234" s="4" t="str">
        <f>"да"</f>
        <v>да</v>
      </c>
      <c r="S234" s="4" t="str">
        <f>"2010"</f>
        <v>2010</v>
      </c>
      <c r="T234" s="4" t="str">
        <f>"75,00"</f>
        <v>75,00</v>
      </c>
      <c r="U234" s="4" t="str">
        <f>"2038-2040"</f>
        <v>2038-2040</v>
      </c>
      <c r="V234" s="4" t="str">
        <f t="shared" si="253"/>
        <v>нет</v>
      </c>
      <c r="W234" s="4" t="str">
        <f>""</f>
        <v/>
      </c>
      <c r="X234" s="4" t="str">
        <f>""</f>
        <v/>
      </c>
      <c r="Y234" s="8" t="str">
        <f>""</f>
        <v/>
      </c>
      <c r="Z234" s="4" t="str">
        <f t="shared" si="262"/>
        <v>х</v>
      </c>
      <c r="AA234" s="4" t="str">
        <f t="shared" si="262"/>
        <v>х</v>
      </c>
      <c r="AB234" s="4" t="str">
        <f t="shared" si="262"/>
        <v>х</v>
      </c>
      <c r="AC234" s="4" t="str">
        <f t="shared" si="262"/>
        <v>х</v>
      </c>
      <c r="AD234" s="4" t="str">
        <f t="shared" si="262"/>
        <v>х</v>
      </c>
      <c r="AE234" s="4" t="str">
        <f t="shared" si="262"/>
        <v>х</v>
      </c>
      <c r="AF234" s="4" t="str">
        <f t="shared" si="262"/>
        <v>х</v>
      </c>
      <c r="AG234" s="4" t="str">
        <f t="shared" si="262"/>
        <v>х</v>
      </c>
      <c r="AH234" s="4" t="str">
        <f t="shared" si="262"/>
        <v>х</v>
      </c>
      <c r="AI234" s="4" t="str">
        <f t="shared" si="262"/>
        <v>х</v>
      </c>
      <c r="AJ234" s="4" t="str">
        <f t="shared" si="262"/>
        <v>х</v>
      </c>
      <c r="AK234" s="7" t="str">
        <f>"2010"</f>
        <v>2010</v>
      </c>
      <c r="AL234" s="4" t="str">
        <f>"0,00"</f>
        <v>0,00</v>
      </c>
      <c r="AM234" s="4" t="str">
        <f>"2038-2040"</f>
        <v>2038-2040</v>
      </c>
      <c r="AN234" s="4" t="str">
        <f>"да"</f>
        <v>да</v>
      </c>
      <c r="AO234" s="4" t="str">
        <f>"2010"</f>
        <v>2010</v>
      </c>
      <c r="AP234" s="4" t="str">
        <f>"50,00"</f>
        <v>50,00</v>
      </c>
      <c r="AQ234" s="4" t="str">
        <f>"2038-2040"</f>
        <v>2038-2040</v>
      </c>
      <c r="AR234" s="4" t="str">
        <f t="shared" si="254"/>
        <v>нет</v>
      </c>
      <c r="AS234" s="4" t="str">
        <f>""</f>
        <v/>
      </c>
      <c r="AT234" s="4" t="str">
        <f>""</f>
        <v/>
      </c>
      <c r="AU234" s="4" t="str">
        <f>""</f>
        <v/>
      </c>
      <c r="AV234" s="4" t="str">
        <f t="shared" ref="AV234:BF235" si="263">"х"</f>
        <v>х</v>
      </c>
      <c r="AW234" s="4" t="str">
        <f t="shared" si="263"/>
        <v>х</v>
      </c>
      <c r="AX234" s="4" t="str">
        <f t="shared" si="263"/>
        <v>х</v>
      </c>
      <c r="AY234" s="4" t="str">
        <f t="shared" si="263"/>
        <v>х</v>
      </c>
      <c r="AZ234" s="4" t="str">
        <f t="shared" si="263"/>
        <v>х</v>
      </c>
      <c r="BA234" s="4" t="str">
        <f t="shared" si="263"/>
        <v>х</v>
      </c>
      <c r="BB234" s="4" t="str">
        <f t="shared" si="263"/>
        <v>х</v>
      </c>
      <c r="BC234" s="4" t="str">
        <f t="shared" si="263"/>
        <v>х</v>
      </c>
      <c r="BD234" s="4" t="str">
        <f t="shared" si="263"/>
        <v>х</v>
      </c>
      <c r="BE234" s="4" t="str">
        <f t="shared" si="263"/>
        <v>х</v>
      </c>
      <c r="BF234" s="4" t="str">
        <f t="shared" si="263"/>
        <v>х</v>
      </c>
      <c r="BG234" s="4" t="str">
        <f>"2010"</f>
        <v>2010</v>
      </c>
      <c r="BH234" s="4" t="str">
        <f>"0,00"</f>
        <v>0,00</v>
      </c>
      <c r="BI234" s="4" t="str">
        <f>"2038-2040"</f>
        <v>2038-2040</v>
      </c>
      <c r="BJ234" s="4" t="str">
        <f t="shared" si="256"/>
        <v>нет</v>
      </c>
      <c r="BK234" s="4" t="str">
        <f>""</f>
        <v/>
      </c>
      <c r="BL234" s="4" t="str">
        <f>""</f>
        <v/>
      </c>
      <c r="BM234" s="4" t="str">
        <f>""</f>
        <v/>
      </c>
      <c r="BN234" s="4" t="str">
        <f t="shared" si="257"/>
        <v>нет</v>
      </c>
      <c r="BO234" s="4" t="str">
        <f>""</f>
        <v/>
      </c>
      <c r="BP234" s="4" t="str">
        <f>""</f>
        <v/>
      </c>
      <c r="BQ234" s="4" t="str">
        <f>""</f>
        <v/>
      </c>
      <c r="BR234" s="4" t="str">
        <f>"2010"</f>
        <v>2010</v>
      </c>
      <c r="BS234" s="4" t="str">
        <f>"50,00"</f>
        <v>50,00</v>
      </c>
      <c r="BT234" s="4" t="str">
        <f>"2038-2040"</f>
        <v>2038-2040</v>
      </c>
      <c r="BU234" s="4" t="str">
        <f t="shared" si="237"/>
        <v>нет</v>
      </c>
      <c r="BV234" s="4" t="str">
        <f t="shared" ref="BV234:BX253" si="264">"x"</f>
        <v>x</v>
      </c>
      <c r="BW234" s="4" t="str">
        <f t="shared" si="264"/>
        <v>x</v>
      </c>
      <c r="BX234" s="4" t="str">
        <f t="shared" si="264"/>
        <v>x</v>
      </c>
      <c r="BY234" s="4" t="str">
        <f t="shared" si="229"/>
        <v>нет</v>
      </c>
      <c r="BZ234" s="4" t="str">
        <f t="shared" si="250"/>
        <v>x</v>
      </c>
      <c r="CA234" s="4" t="str">
        <f t="shared" si="250"/>
        <v>x</v>
      </c>
      <c r="CB234" s="4" t="str">
        <f t="shared" si="250"/>
        <v>x</v>
      </c>
      <c r="CC234" s="4" t="str">
        <f>"2010"</f>
        <v>2010</v>
      </c>
      <c r="CD234" s="4" t="str">
        <f>"45,00"</f>
        <v>45,00</v>
      </c>
      <c r="CE234" s="4" t="str">
        <f>"2038-2040"</f>
        <v>2038-2040</v>
      </c>
      <c r="CF234" s="4" t="str">
        <f>"1957"</f>
        <v>1957</v>
      </c>
      <c r="CG234" s="4" t="str">
        <f>"45,00"</f>
        <v>45,00</v>
      </c>
      <c r="CH234" s="4" t="str">
        <f>"2038-2040"</f>
        <v>2038-2040</v>
      </c>
      <c r="CI234" s="4" t="str">
        <f>"48,00"</f>
        <v>48,00</v>
      </c>
      <c r="CJ234" s="4" t="str">
        <f>"2038-2040"</f>
        <v>2038-2040</v>
      </c>
    </row>
    <row r="235" spans="1:88" ht="11.25" customHeight="1">
      <c r="A235" s="45" t="str">
        <f>"24.222"</f>
        <v>24.222</v>
      </c>
      <c r="B235" s="46" t="str">
        <f>"г. Харовск, ул.Энергетиков, д.16"</f>
        <v>г. Харовск, ул.Энергетиков, д.16</v>
      </c>
      <c r="C235" s="6" t="str">
        <f>"1956"</f>
        <v>1956</v>
      </c>
      <c r="D235" s="4" t="str">
        <f>"1956"</f>
        <v>1956</v>
      </c>
      <c r="E235" s="4" t="str">
        <f>"50,00"</f>
        <v>50,00</v>
      </c>
      <c r="F235" s="4" t="str">
        <f>"2017-2019"</f>
        <v>2017-2019</v>
      </c>
      <c r="G235" s="4" t="str">
        <f t="shared" si="251"/>
        <v>нет</v>
      </c>
      <c r="H235" s="4" t="str">
        <f>""</f>
        <v/>
      </c>
      <c r="I235" s="4" t="str">
        <f>""</f>
        <v/>
      </c>
      <c r="J235" s="4" t="str">
        <f>""</f>
        <v/>
      </c>
      <c r="K235" s="4" t="str">
        <f t="shared" si="235"/>
        <v>нет</v>
      </c>
      <c r="L235" s="4" t="str">
        <f>""</f>
        <v/>
      </c>
      <c r="M235" s="4" t="str">
        <f>""</f>
        <v/>
      </c>
      <c r="N235" s="4" t="str">
        <f>""</f>
        <v/>
      </c>
      <c r="O235" s="7" t="str">
        <f>"1956"</f>
        <v>1956</v>
      </c>
      <c r="P235" s="4" t="str">
        <f>"50,00"</f>
        <v>50,00</v>
      </c>
      <c r="Q235" s="4" t="str">
        <f>"2025-2027"</f>
        <v>2025-2027</v>
      </c>
      <c r="R235" s="4" t="str">
        <f>"нет"</f>
        <v>нет</v>
      </c>
      <c r="S235" s="4" t="str">
        <f>""</f>
        <v/>
      </c>
      <c r="T235" s="4" t="str">
        <f>""</f>
        <v/>
      </c>
      <c r="U235" s="4" t="str">
        <f>""</f>
        <v/>
      </c>
      <c r="V235" s="4" t="str">
        <f t="shared" si="253"/>
        <v>нет</v>
      </c>
      <c r="W235" s="4" t="str">
        <f>""</f>
        <v/>
      </c>
      <c r="X235" s="4" t="str">
        <f>""</f>
        <v/>
      </c>
      <c r="Y235" s="8" t="str">
        <f>""</f>
        <v/>
      </c>
      <c r="Z235" s="4" t="str">
        <f t="shared" si="262"/>
        <v>х</v>
      </c>
      <c r="AA235" s="4" t="str">
        <f t="shared" si="262"/>
        <v>х</v>
      </c>
      <c r="AB235" s="4" t="str">
        <f t="shared" si="262"/>
        <v>х</v>
      </c>
      <c r="AC235" s="4" t="str">
        <f t="shared" si="262"/>
        <v>х</v>
      </c>
      <c r="AD235" s="4" t="str">
        <f t="shared" si="262"/>
        <v>х</v>
      </c>
      <c r="AE235" s="4" t="str">
        <f t="shared" si="262"/>
        <v>х</v>
      </c>
      <c r="AF235" s="4" t="str">
        <f t="shared" si="262"/>
        <v>х</v>
      </c>
      <c r="AG235" s="4" t="str">
        <f t="shared" si="262"/>
        <v>х</v>
      </c>
      <c r="AH235" s="4" t="str">
        <f t="shared" si="262"/>
        <v>х</v>
      </c>
      <c r="AI235" s="4" t="str">
        <f t="shared" si="262"/>
        <v>х</v>
      </c>
      <c r="AJ235" s="4" t="str">
        <f t="shared" si="262"/>
        <v>х</v>
      </c>
      <c r="AK235" s="7" t="str">
        <f>"1956"</f>
        <v>1956</v>
      </c>
      <c r="AL235" s="4" t="str">
        <f>"50,00"</f>
        <v>50,00</v>
      </c>
      <c r="AM235" s="4" t="str">
        <f>"2025-2027"</f>
        <v>2025-2027</v>
      </c>
      <c r="AN235" s="4" t="str">
        <f>"нет"</f>
        <v>нет</v>
      </c>
      <c r="AO235" s="4" t="str">
        <f>""</f>
        <v/>
      </c>
      <c r="AP235" s="4" t="str">
        <f>""</f>
        <v/>
      </c>
      <c r="AQ235" s="4" t="str">
        <f>""</f>
        <v/>
      </c>
      <c r="AR235" s="4" t="str">
        <f t="shared" si="254"/>
        <v>нет</v>
      </c>
      <c r="AS235" s="4" t="str">
        <f>""</f>
        <v/>
      </c>
      <c r="AT235" s="4" t="str">
        <f>""</f>
        <v/>
      </c>
      <c r="AU235" s="4" t="str">
        <f>""</f>
        <v/>
      </c>
      <c r="AV235" s="4" t="str">
        <f t="shared" si="263"/>
        <v>х</v>
      </c>
      <c r="AW235" s="4" t="str">
        <f t="shared" si="263"/>
        <v>х</v>
      </c>
      <c r="AX235" s="4" t="str">
        <f t="shared" si="263"/>
        <v>х</v>
      </c>
      <c r="AY235" s="4" t="str">
        <f t="shared" si="263"/>
        <v>х</v>
      </c>
      <c r="AZ235" s="4" t="str">
        <f t="shared" si="263"/>
        <v>х</v>
      </c>
      <c r="BA235" s="4" t="str">
        <f t="shared" si="263"/>
        <v>х</v>
      </c>
      <c r="BB235" s="4" t="str">
        <f t="shared" si="263"/>
        <v>х</v>
      </c>
      <c r="BC235" s="4" t="str">
        <f t="shared" si="263"/>
        <v>х</v>
      </c>
      <c r="BD235" s="4" t="str">
        <f t="shared" si="263"/>
        <v>х</v>
      </c>
      <c r="BE235" s="4" t="str">
        <f t="shared" si="263"/>
        <v>х</v>
      </c>
      <c r="BF235" s="4" t="str">
        <f t="shared" si="263"/>
        <v>х</v>
      </c>
      <c r="BG235" s="4" t="str">
        <f t="shared" ref="BG235:BQ235" si="265">"х"</f>
        <v>х</v>
      </c>
      <c r="BH235" s="4" t="str">
        <f t="shared" si="265"/>
        <v>х</v>
      </c>
      <c r="BI235" s="4" t="str">
        <f t="shared" si="265"/>
        <v>х</v>
      </c>
      <c r="BJ235" s="4" t="str">
        <f t="shared" si="265"/>
        <v>х</v>
      </c>
      <c r="BK235" s="4" t="str">
        <f t="shared" si="265"/>
        <v>х</v>
      </c>
      <c r="BL235" s="4" t="str">
        <f t="shared" si="265"/>
        <v>х</v>
      </c>
      <c r="BM235" s="4" t="str">
        <f t="shared" si="265"/>
        <v>х</v>
      </c>
      <c r="BN235" s="4" t="str">
        <f t="shared" si="265"/>
        <v>х</v>
      </c>
      <c r="BO235" s="4" t="str">
        <f t="shared" si="265"/>
        <v>х</v>
      </c>
      <c r="BP235" s="4" t="str">
        <f t="shared" si="265"/>
        <v>х</v>
      </c>
      <c r="BQ235" s="4" t="str">
        <f t="shared" si="265"/>
        <v>х</v>
      </c>
      <c r="BR235" s="4" t="str">
        <f>"1956"</f>
        <v>1956</v>
      </c>
      <c r="BS235" s="4" t="str">
        <f>"60,00"</f>
        <v>60,00</v>
      </c>
      <c r="BT235" s="4" t="str">
        <f>"2025-2027"</f>
        <v>2025-2027</v>
      </c>
      <c r="BU235" s="4" t="str">
        <f t="shared" si="237"/>
        <v>нет</v>
      </c>
      <c r="BV235" s="4" t="str">
        <f t="shared" si="264"/>
        <v>x</v>
      </c>
      <c r="BW235" s="4" t="str">
        <f t="shared" si="264"/>
        <v>x</v>
      </c>
      <c r="BX235" s="4" t="str">
        <f t="shared" si="264"/>
        <v>x</v>
      </c>
      <c r="BY235" s="4" t="str">
        <f t="shared" ref="BY235:BY251" si="266">"нет"</f>
        <v>нет</v>
      </c>
      <c r="BZ235" s="4" t="str">
        <f t="shared" si="250"/>
        <v>x</v>
      </c>
      <c r="CA235" s="4" t="str">
        <f t="shared" si="250"/>
        <v>x</v>
      </c>
      <c r="CB235" s="4" t="str">
        <f t="shared" si="250"/>
        <v>x</v>
      </c>
      <c r="CC235" s="4" t="str">
        <f>"1956"</f>
        <v>1956</v>
      </c>
      <c r="CD235" s="4" t="str">
        <f>"50,00"</f>
        <v>50,00</v>
      </c>
      <c r="CE235" s="4" t="str">
        <f>"2017-2019"</f>
        <v>2017-2019</v>
      </c>
      <c r="CF235" s="4" t="str">
        <f>"1956"</f>
        <v>1956</v>
      </c>
      <c r="CG235" s="4" t="str">
        <f>"60,00"</f>
        <v>60,00</v>
      </c>
      <c r="CH235" s="4" t="str">
        <f>"2017-2019"</f>
        <v>2017-2019</v>
      </c>
      <c r="CI235" s="4" t="str">
        <f>"56,00"</f>
        <v>56,00</v>
      </c>
      <c r="CJ235" s="4" t="str">
        <f>"2017-2019"</f>
        <v>2017-2019</v>
      </c>
    </row>
    <row r="236" spans="1:88" ht="11.25" customHeight="1">
      <c r="A236" s="45" t="str">
        <f>"24.223"</f>
        <v>24.223</v>
      </c>
      <c r="B236" s="46" t="str">
        <f>"г. Харовск, ул.Энергетиков, д.16А"</f>
        <v>г. Харовск, ул.Энергетиков, д.16А</v>
      </c>
      <c r="C236" s="6" t="str">
        <f>"1992"</f>
        <v>1992</v>
      </c>
      <c r="D236" s="4" t="str">
        <f>"1992"</f>
        <v>1992</v>
      </c>
      <c r="E236" s="4" t="str">
        <f>"10,00"</f>
        <v>10,00</v>
      </c>
      <c r="F236" s="4" t="str">
        <f>"2035-2037"</f>
        <v>2035-2037</v>
      </c>
      <c r="G236" s="4" t="str">
        <f t="shared" si="251"/>
        <v>нет</v>
      </c>
      <c r="H236" s="4" t="str">
        <f>""</f>
        <v/>
      </c>
      <c r="I236" s="4" t="str">
        <f>""</f>
        <v/>
      </c>
      <c r="J236" s="4" t="str">
        <f>""</f>
        <v/>
      </c>
      <c r="K236" s="4" t="str">
        <f t="shared" si="235"/>
        <v>нет</v>
      </c>
      <c r="L236" s="4" t="str">
        <f>""</f>
        <v/>
      </c>
      <c r="M236" s="4" t="str">
        <f>""</f>
        <v/>
      </c>
      <c r="N236" s="4" t="str">
        <f>""</f>
        <v/>
      </c>
      <c r="O236" s="7" t="str">
        <f>"1992"</f>
        <v>1992</v>
      </c>
      <c r="P236" s="4" t="str">
        <f>"10,00"</f>
        <v>10,00</v>
      </c>
      <c r="Q236" s="4" t="str">
        <f>"2035-2037"</f>
        <v>2035-2037</v>
      </c>
      <c r="R236" s="4" t="str">
        <f>"нет"</f>
        <v>нет</v>
      </c>
      <c r="S236" s="4" t="str">
        <f>""</f>
        <v/>
      </c>
      <c r="T236" s="4" t="str">
        <f>""</f>
        <v/>
      </c>
      <c r="U236" s="4" t="str">
        <f>""</f>
        <v/>
      </c>
      <c r="V236" s="4" t="str">
        <f t="shared" si="253"/>
        <v>нет</v>
      </c>
      <c r="W236" s="4" t="str">
        <f>""</f>
        <v/>
      </c>
      <c r="X236" s="4" t="str">
        <f>""</f>
        <v/>
      </c>
      <c r="Y236" s="8" t="str">
        <f>""</f>
        <v/>
      </c>
      <c r="Z236" s="4" t="str">
        <f t="shared" si="262"/>
        <v>х</v>
      </c>
      <c r="AA236" s="4" t="str">
        <f t="shared" si="262"/>
        <v>х</v>
      </c>
      <c r="AB236" s="4" t="str">
        <f t="shared" si="262"/>
        <v>х</v>
      </c>
      <c r="AC236" s="4" t="str">
        <f t="shared" si="262"/>
        <v>х</v>
      </c>
      <c r="AD236" s="4" t="str">
        <f t="shared" si="262"/>
        <v>х</v>
      </c>
      <c r="AE236" s="4" t="str">
        <f t="shared" si="262"/>
        <v>х</v>
      </c>
      <c r="AF236" s="4" t="str">
        <f t="shared" si="262"/>
        <v>х</v>
      </c>
      <c r="AG236" s="4" t="str">
        <f t="shared" si="262"/>
        <v>х</v>
      </c>
      <c r="AH236" s="4" t="str">
        <f t="shared" si="262"/>
        <v>х</v>
      </c>
      <c r="AI236" s="4" t="str">
        <f t="shared" si="262"/>
        <v>х</v>
      </c>
      <c r="AJ236" s="4" t="str">
        <f t="shared" si="262"/>
        <v>х</v>
      </c>
      <c r="AK236" s="7" t="str">
        <f>"1992"</f>
        <v>1992</v>
      </c>
      <c r="AL236" s="4" t="str">
        <f>"10,00"</f>
        <v>10,00</v>
      </c>
      <c r="AM236" s="4" t="str">
        <f>"2035-2037"</f>
        <v>2035-2037</v>
      </c>
      <c r="AN236" s="4" t="str">
        <f>"да"</f>
        <v>да</v>
      </c>
      <c r="AO236" s="4" t="str">
        <f>"2013"</f>
        <v>2013</v>
      </c>
      <c r="AP236" s="4" t="str">
        <f>"0,00"</f>
        <v>0,00</v>
      </c>
      <c r="AQ236" s="4" t="str">
        <f>"2035-2037"</f>
        <v>2035-2037</v>
      </c>
      <c r="AR236" s="4" t="str">
        <f t="shared" si="254"/>
        <v>нет</v>
      </c>
      <c r="AS236" s="4" t="str">
        <f>""</f>
        <v/>
      </c>
      <c r="AT236" s="4" t="str">
        <f>""</f>
        <v/>
      </c>
      <c r="AU236" s="4" t="str">
        <f>""</f>
        <v/>
      </c>
      <c r="AV236" s="4" t="str">
        <f>"1992"</f>
        <v>1992</v>
      </c>
      <c r="AW236" s="4" t="str">
        <f>"10,00"</f>
        <v>10,00</v>
      </c>
      <c r="AX236" s="4" t="str">
        <f>"2035-2037"</f>
        <v>2035-2037</v>
      </c>
      <c r="AY236" s="4" t="str">
        <f>"нет"</f>
        <v>нет</v>
      </c>
      <c r="AZ236" s="4" t="str">
        <f>""</f>
        <v/>
      </c>
      <c r="BA236" s="4" t="str">
        <f>""</f>
        <v/>
      </c>
      <c r="BB236" s="4" t="str">
        <f>""</f>
        <v/>
      </c>
      <c r="BC236" s="4" t="str">
        <f>"нет"</f>
        <v>нет</v>
      </c>
      <c r="BD236" s="4" t="str">
        <f>""</f>
        <v/>
      </c>
      <c r="BE236" s="4" t="str">
        <f>""</f>
        <v/>
      </c>
      <c r="BF236" s="4" t="str">
        <f>""</f>
        <v/>
      </c>
      <c r="BG236" s="4" t="str">
        <f>"1992"</f>
        <v>1992</v>
      </c>
      <c r="BH236" s="4" t="str">
        <f>"10,00"</f>
        <v>10,00</v>
      </c>
      <c r="BI236" s="4" t="str">
        <f>"2035-2037"</f>
        <v>2035-2037</v>
      </c>
      <c r="BJ236" s="4" t="str">
        <f t="shared" ref="BJ236:BJ249" si="267">"нет"</f>
        <v>нет</v>
      </c>
      <c r="BK236" s="4" t="str">
        <f>""</f>
        <v/>
      </c>
      <c r="BL236" s="4" t="str">
        <f>""</f>
        <v/>
      </c>
      <c r="BM236" s="4" t="str">
        <f>""</f>
        <v/>
      </c>
      <c r="BN236" s="4" t="str">
        <f t="shared" ref="BN236:BN249" si="268">"нет"</f>
        <v>нет</v>
      </c>
      <c r="BO236" s="4" t="str">
        <f>""</f>
        <v/>
      </c>
      <c r="BP236" s="4" t="str">
        <f>""</f>
        <v/>
      </c>
      <c r="BQ236" s="4" t="str">
        <f>""</f>
        <v/>
      </c>
      <c r="BR236" s="4" t="str">
        <f>"1992"</f>
        <v>1992</v>
      </c>
      <c r="BS236" s="4" t="str">
        <f>"10,00"</f>
        <v>10,00</v>
      </c>
      <c r="BT236" s="4" t="str">
        <f>"2035-2037"</f>
        <v>2035-2037</v>
      </c>
      <c r="BU236" s="4" t="str">
        <f t="shared" si="237"/>
        <v>нет</v>
      </c>
      <c r="BV236" s="4" t="str">
        <f t="shared" si="264"/>
        <v>x</v>
      </c>
      <c r="BW236" s="4" t="str">
        <f t="shared" si="264"/>
        <v>x</v>
      </c>
      <c r="BX236" s="4" t="str">
        <f t="shared" si="264"/>
        <v>x</v>
      </c>
      <c r="BY236" s="4" t="str">
        <f t="shared" si="266"/>
        <v>нет</v>
      </c>
      <c r="BZ236" s="4" t="str">
        <f t="shared" si="250"/>
        <v>x</v>
      </c>
      <c r="CA236" s="4" t="str">
        <f t="shared" si="250"/>
        <v>x</v>
      </c>
      <c r="CB236" s="4" t="str">
        <f t="shared" si="250"/>
        <v>x</v>
      </c>
      <c r="CC236" s="4" t="str">
        <f>"1992"</f>
        <v>1992</v>
      </c>
      <c r="CD236" s="4" t="str">
        <f>"10,00"</f>
        <v>10,00</v>
      </c>
      <c r="CE236" s="4" t="str">
        <f>"2035-2037"</f>
        <v>2035-2037</v>
      </c>
      <c r="CF236" s="4" t="str">
        <f>"1992"</f>
        <v>1992</v>
      </c>
      <c r="CG236" s="4" t="str">
        <f>"10,00"</f>
        <v>10,00</v>
      </c>
      <c r="CH236" s="4" t="str">
        <f>"2035-2037"</f>
        <v>2035-2037</v>
      </c>
      <c r="CI236" s="4" t="str">
        <f>"10,00"</f>
        <v>10,00</v>
      </c>
      <c r="CJ236" s="4" t="str">
        <f>"2035-2037"</f>
        <v>2035-2037</v>
      </c>
    </row>
    <row r="237" spans="1:88" ht="11.25" customHeight="1">
      <c r="A237" s="45" t="str">
        <f>"24.224"</f>
        <v>24.224</v>
      </c>
      <c r="B237" s="46" t="str">
        <f>"г. Харовск, ул.Энергетиков, д.17А"</f>
        <v>г. Харовск, ул.Энергетиков, д.17А</v>
      </c>
      <c r="C237" s="6" t="str">
        <f>"1988"</f>
        <v>1988</v>
      </c>
      <c r="D237" s="4" t="str">
        <f>"1988"</f>
        <v>1988</v>
      </c>
      <c r="E237" s="4" t="str">
        <f>"45,00"</f>
        <v>45,00</v>
      </c>
      <c r="F237" s="4" t="str">
        <f>"2033-2035"</f>
        <v>2033-2035</v>
      </c>
      <c r="G237" s="4" t="str">
        <f t="shared" si="251"/>
        <v>нет</v>
      </c>
      <c r="H237" s="4" t="str">
        <f>""</f>
        <v/>
      </c>
      <c r="I237" s="4" t="str">
        <f>""</f>
        <v/>
      </c>
      <c r="J237" s="4" t="str">
        <f>""</f>
        <v/>
      </c>
      <c r="K237" s="4" t="str">
        <f t="shared" si="235"/>
        <v>нет</v>
      </c>
      <c r="L237" s="4" t="str">
        <f>""</f>
        <v/>
      </c>
      <c r="M237" s="4" t="str">
        <f>""</f>
        <v/>
      </c>
      <c r="N237" s="4" t="str">
        <f>""</f>
        <v/>
      </c>
      <c r="O237" s="7" t="str">
        <f>"1988"</f>
        <v>1988</v>
      </c>
      <c r="P237" s="4" t="str">
        <f>"45,00"</f>
        <v>45,00</v>
      </c>
      <c r="Q237" s="4" t="str">
        <f>"2033-2035"</f>
        <v>2033-2035</v>
      </c>
      <c r="R237" s="4" t="str">
        <f>"да"</f>
        <v>да</v>
      </c>
      <c r="S237" s="4" t="str">
        <f>"2009"</f>
        <v>2009</v>
      </c>
      <c r="T237" s="4" t="str">
        <f>"75,00"</f>
        <v>75,00</v>
      </c>
      <c r="U237" s="4" t="str">
        <f>"2033-2035"</f>
        <v>2033-2035</v>
      </c>
      <c r="V237" s="4" t="str">
        <f t="shared" si="253"/>
        <v>нет</v>
      </c>
      <c r="W237" s="4" t="str">
        <f>""</f>
        <v/>
      </c>
      <c r="X237" s="4" t="str">
        <f>""</f>
        <v/>
      </c>
      <c r="Y237" s="8" t="str">
        <f>""</f>
        <v/>
      </c>
      <c r="Z237" s="4" t="str">
        <f t="shared" si="262"/>
        <v>х</v>
      </c>
      <c r="AA237" s="4" t="str">
        <f t="shared" si="262"/>
        <v>х</v>
      </c>
      <c r="AB237" s="4" t="str">
        <f t="shared" si="262"/>
        <v>х</v>
      </c>
      <c r="AC237" s="4" t="str">
        <f t="shared" si="262"/>
        <v>х</v>
      </c>
      <c r="AD237" s="4" t="str">
        <f t="shared" si="262"/>
        <v>х</v>
      </c>
      <c r="AE237" s="4" t="str">
        <f t="shared" si="262"/>
        <v>х</v>
      </c>
      <c r="AF237" s="4" t="str">
        <f t="shared" si="262"/>
        <v>х</v>
      </c>
      <c r="AG237" s="4" t="str">
        <f t="shared" si="262"/>
        <v>х</v>
      </c>
      <c r="AH237" s="4" t="str">
        <f t="shared" si="262"/>
        <v>х</v>
      </c>
      <c r="AI237" s="4" t="str">
        <f t="shared" si="262"/>
        <v>х</v>
      </c>
      <c r="AJ237" s="4" t="str">
        <f t="shared" si="262"/>
        <v>х</v>
      </c>
      <c r="AK237" s="7" t="str">
        <f>"1988"</f>
        <v>1988</v>
      </c>
      <c r="AL237" s="4" t="str">
        <f>"45,00"</f>
        <v>45,00</v>
      </c>
      <c r="AM237" s="4" t="str">
        <f>"2033-2035"</f>
        <v>2033-2035</v>
      </c>
      <c r="AN237" s="4" t="str">
        <f>"да"</f>
        <v>да</v>
      </c>
      <c r="AO237" s="4" t="str">
        <f>"2013"</f>
        <v>2013</v>
      </c>
      <c r="AP237" s="4" t="str">
        <f>"0,00"</f>
        <v>0,00</v>
      </c>
      <c r="AQ237" s="4" t="str">
        <f>"2033-2035"</f>
        <v>2033-2035</v>
      </c>
      <c r="AR237" s="4" t="str">
        <f t="shared" si="254"/>
        <v>нет</v>
      </c>
      <c r="AS237" s="4" t="str">
        <f>""</f>
        <v/>
      </c>
      <c r="AT237" s="4" t="str">
        <f>""</f>
        <v/>
      </c>
      <c r="AU237" s="4" t="str">
        <f>""</f>
        <v/>
      </c>
      <c r="AV237" s="4" t="str">
        <f>""</f>
        <v/>
      </c>
      <c r="AW237" s="4" t="str">
        <f>""</f>
        <v/>
      </c>
      <c r="AX237" s="4" t="str">
        <f>""</f>
        <v/>
      </c>
      <c r="AY237" s="4" t="str">
        <f>""</f>
        <v/>
      </c>
      <c r="AZ237" s="4" t="str">
        <f>""</f>
        <v/>
      </c>
      <c r="BA237" s="4" t="str">
        <f>""</f>
        <v/>
      </c>
      <c r="BB237" s="4" t="str">
        <f>""</f>
        <v/>
      </c>
      <c r="BC237" s="4" t="str">
        <f>""</f>
        <v/>
      </c>
      <c r="BD237" s="4" t="str">
        <f>""</f>
        <v/>
      </c>
      <c r="BE237" s="4" t="str">
        <f>""</f>
        <v/>
      </c>
      <c r="BF237" s="4" t="str">
        <f>""</f>
        <v/>
      </c>
      <c r="BG237" s="4" t="str">
        <f>"1988"</f>
        <v>1988</v>
      </c>
      <c r="BH237" s="4" t="str">
        <f>"45,00"</f>
        <v>45,00</v>
      </c>
      <c r="BI237" s="4" t="str">
        <f>"2033-2035"</f>
        <v>2033-2035</v>
      </c>
      <c r="BJ237" s="4" t="str">
        <f t="shared" si="267"/>
        <v>нет</v>
      </c>
      <c r="BK237" s="4" t="str">
        <f>""</f>
        <v/>
      </c>
      <c r="BL237" s="4" t="str">
        <f>""</f>
        <v/>
      </c>
      <c r="BM237" s="4" t="str">
        <f>""</f>
        <v/>
      </c>
      <c r="BN237" s="4" t="str">
        <f t="shared" si="268"/>
        <v>нет</v>
      </c>
      <c r="BO237" s="4" t="str">
        <f>""</f>
        <v/>
      </c>
      <c r="BP237" s="4" t="str">
        <f>""</f>
        <v/>
      </c>
      <c r="BQ237" s="4" t="str">
        <f>""</f>
        <v/>
      </c>
      <c r="BR237" s="4" t="str">
        <f>"1988"</f>
        <v>1988</v>
      </c>
      <c r="BS237" s="4" t="str">
        <f>"40,00"</f>
        <v>40,00</v>
      </c>
      <c r="BT237" s="4" t="str">
        <f>"2033-2035"</f>
        <v>2033-2035</v>
      </c>
      <c r="BU237" s="4" t="str">
        <f t="shared" si="237"/>
        <v>нет</v>
      </c>
      <c r="BV237" s="4" t="str">
        <f t="shared" si="264"/>
        <v>x</v>
      </c>
      <c r="BW237" s="4" t="str">
        <f t="shared" si="264"/>
        <v>x</v>
      </c>
      <c r="BX237" s="4" t="str">
        <f t="shared" si="264"/>
        <v>x</v>
      </c>
      <c r="BY237" s="4" t="str">
        <f t="shared" si="266"/>
        <v>нет</v>
      </c>
      <c r="BZ237" s="4" t="str">
        <f t="shared" si="250"/>
        <v>x</v>
      </c>
      <c r="CA237" s="4" t="str">
        <f t="shared" si="250"/>
        <v>x</v>
      </c>
      <c r="CB237" s="4" t="str">
        <f t="shared" si="250"/>
        <v>x</v>
      </c>
      <c r="CC237" s="4" t="str">
        <f>"1988"</f>
        <v>1988</v>
      </c>
      <c r="CD237" s="4" t="str">
        <f>"15,00"</f>
        <v>15,00</v>
      </c>
      <c r="CE237" s="4" t="str">
        <f>"2033-2035"</f>
        <v>2033-2035</v>
      </c>
      <c r="CF237" s="4" t="str">
        <f>"1988"</f>
        <v>1988</v>
      </c>
      <c r="CG237" s="4" t="str">
        <f>"15,00"</f>
        <v>15,00</v>
      </c>
      <c r="CH237" s="4" t="str">
        <f>"2033-2035"</f>
        <v>2033-2035</v>
      </c>
      <c r="CI237" s="4" t="str">
        <f>"26,00"</f>
        <v>26,00</v>
      </c>
      <c r="CJ237" s="4" t="str">
        <f>"2033-2035"</f>
        <v>2033-2035</v>
      </c>
    </row>
    <row r="238" spans="1:88" ht="11.25" customHeight="1">
      <c r="A238" s="45" t="str">
        <f>"24.225"</f>
        <v>24.225</v>
      </c>
      <c r="B238" s="46" t="str">
        <f>"г. Харовск, ул.Энергетиков, д.19"</f>
        <v>г. Харовск, ул.Энергетиков, д.19</v>
      </c>
      <c r="C238" s="6" t="str">
        <f>"1962"</f>
        <v>1962</v>
      </c>
      <c r="D238" s="4" t="str">
        <f>"1962"</f>
        <v>1962</v>
      </c>
      <c r="E238" s="4" t="str">
        <f>"40,00"</f>
        <v>40,00</v>
      </c>
      <c r="F238" s="4" t="str">
        <f>"2020-2022"</f>
        <v>2020-2022</v>
      </c>
      <c r="G238" s="4" t="str">
        <f t="shared" si="251"/>
        <v>нет</v>
      </c>
      <c r="H238" s="4" t="str">
        <f>""</f>
        <v/>
      </c>
      <c r="I238" s="4" t="str">
        <f>""</f>
        <v/>
      </c>
      <c r="J238" s="4" t="str">
        <f>""</f>
        <v/>
      </c>
      <c r="K238" s="4" t="str">
        <f t="shared" si="235"/>
        <v>нет</v>
      </c>
      <c r="L238" s="4" t="str">
        <f>""</f>
        <v/>
      </c>
      <c r="M238" s="4" t="str">
        <f>""</f>
        <v/>
      </c>
      <c r="N238" s="4" t="str">
        <f>""</f>
        <v/>
      </c>
      <c r="O238" s="7" t="str">
        <f>"1962"</f>
        <v>1962</v>
      </c>
      <c r="P238" s="4" t="str">
        <f>"40,00"</f>
        <v>40,00</v>
      </c>
      <c r="Q238" s="4" t="str">
        <f>"2020-2022"</f>
        <v>2020-2022</v>
      </c>
      <c r="R238" s="4" t="str">
        <f>"нет"</f>
        <v>нет</v>
      </c>
      <c r="S238" s="4" t="str">
        <f>""</f>
        <v/>
      </c>
      <c r="T238" s="4" t="str">
        <f>""</f>
        <v/>
      </c>
      <c r="U238" s="4" t="str">
        <f>"2020-2022"</f>
        <v>2020-2022</v>
      </c>
      <c r="V238" s="4" t="str">
        <f t="shared" si="253"/>
        <v>нет</v>
      </c>
      <c r="W238" s="4" t="str">
        <f>""</f>
        <v/>
      </c>
      <c r="X238" s="4" t="str">
        <f>""</f>
        <v/>
      </c>
      <c r="Y238" s="8" t="str">
        <f>""</f>
        <v/>
      </c>
      <c r="Z238" s="4" t="str">
        <f t="shared" si="262"/>
        <v>х</v>
      </c>
      <c r="AA238" s="4" t="str">
        <f t="shared" si="262"/>
        <v>х</v>
      </c>
      <c r="AB238" s="4" t="str">
        <f t="shared" si="262"/>
        <v>х</v>
      </c>
      <c r="AC238" s="4" t="str">
        <f t="shared" si="262"/>
        <v>х</v>
      </c>
      <c r="AD238" s="4" t="str">
        <f t="shared" si="262"/>
        <v>х</v>
      </c>
      <c r="AE238" s="4" t="str">
        <f t="shared" si="262"/>
        <v>х</v>
      </c>
      <c r="AF238" s="4" t="str">
        <f t="shared" si="262"/>
        <v>х</v>
      </c>
      <c r="AG238" s="4" t="str">
        <f t="shared" si="262"/>
        <v>х</v>
      </c>
      <c r="AH238" s="4" t="str">
        <f t="shared" si="262"/>
        <v>х</v>
      </c>
      <c r="AI238" s="4" t="str">
        <f t="shared" si="262"/>
        <v>х</v>
      </c>
      <c r="AJ238" s="4" t="str">
        <f t="shared" si="262"/>
        <v>х</v>
      </c>
      <c r="AK238" s="7" t="str">
        <f>"1962"</f>
        <v>1962</v>
      </c>
      <c r="AL238" s="4" t="str">
        <f>"40,00"</f>
        <v>40,00</v>
      </c>
      <c r="AM238" s="4" t="str">
        <f>"2020-2022"</f>
        <v>2020-2022</v>
      </c>
      <c r="AN238" s="4" t="str">
        <f>"нет"</f>
        <v>нет</v>
      </c>
      <c r="AO238" s="4" t="str">
        <f>""</f>
        <v/>
      </c>
      <c r="AP238" s="4" t="str">
        <f>""</f>
        <v/>
      </c>
      <c r="AQ238" s="4" t="str">
        <f>""</f>
        <v/>
      </c>
      <c r="AR238" s="4" t="str">
        <f t="shared" si="254"/>
        <v>нет</v>
      </c>
      <c r="AS238" s="4" t="str">
        <f>""</f>
        <v/>
      </c>
      <c r="AT238" s="4" t="str">
        <f>""</f>
        <v/>
      </c>
      <c r="AU238" s="4" t="str">
        <f>""</f>
        <v/>
      </c>
      <c r="AV238" s="4" t="str">
        <f t="shared" ref="AV238:BF239" si="269">"х"</f>
        <v>х</v>
      </c>
      <c r="AW238" s="4" t="str">
        <f t="shared" si="269"/>
        <v>х</v>
      </c>
      <c r="AX238" s="4" t="str">
        <f t="shared" si="269"/>
        <v>х</v>
      </c>
      <c r="AY238" s="4" t="str">
        <f t="shared" si="269"/>
        <v>х</v>
      </c>
      <c r="AZ238" s="4" t="str">
        <f t="shared" si="269"/>
        <v>х</v>
      </c>
      <c r="BA238" s="4" t="str">
        <f t="shared" si="269"/>
        <v>х</v>
      </c>
      <c r="BB238" s="4" t="str">
        <f t="shared" si="269"/>
        <v>х</v>
      </c>
      <c r="BC238" s="4" t="str">
        <f t="shared" si="269"/>
        <v>х</v>
      </c>
      <c r="BD238" s="4" t="str">
        <f t="shared" si="269"/>
        <v>х</v>
      </c>
      <c r="BE238" s="4" t="str">
        <f t="shared" si="269"/>
        <v>х</v>
      </c>
      <c r="BF238" s="4" t="str">
        <f t="shared" si="269"/>
        <v>х</v>
      </c>
      <c r="BG238" s="4" t="str">
        <f>"1962"</f>
        <v>1962</v>
      </c>
      <c r="BH238" s="4" t="str">
        <f>"40,00"</f>
        <v>40,00</v>
      </c>
      <c r="BI238" s="4" t="str">
        <f>"2020-2022"</f>
        <v>2020-2022</v>
      </c>
      <c r="BJ238" s="4" t="str">
        <f t="shared" si="267"/>
        <v>нет</v>
      </c>
      <c r="BK238" s="4" t="str">
        <f>""</f>
        <v/>
      </c>
      <c r="BL238" s="4" t="str">
        <f>""</f>
        <v/>
      </c>
      <c r="BM238" s="4" t="str">
        <f>""</f>
        <v/>
      </c>
      <c r="BN238" s="4" t="str">
        <f t="shared" si="268"/>
        <v>нет</v>
      </c>
      <c r="BO238" s="4" t="str">
        <f>""</f>
        <v/>
      </c>
      <c r="BP238" s="4" t="str">
        <f>""</f>
        <v/>
      </c>
      <c r="BQ238" s="4" t="str">
        <f>""</f>
        <v/>
      </c>
      <c r="BR238" s="4" t="str">
        <f>"1962"</f>
        <v>1962</v>
      </c>
      <c r="BS238" s="4" t="str">
        <f>"45,00"</f>
        <v>45,00</v>
      </c>
      <c r="BT238" s="4" t="str">
        <f>"2040-2042"</f>
        <v>2040-2042</v>
      </c>
      <c r="BU238" s="4" t="str">
        <f t="shared" si="237"/>
        <v>нет</v>
      </c>
      <c r="BV238" s="4" t="str">
        <f t="shared" si="264"/>
        <v>x</v>
      </c>
      <c r="BW238" s="4" t="str">
        <f t="shared" si="264"/>
        <v>x</v>
      </c>
      <c r="BX238" s="4" t="str">
        <f t="shared" si="264"/>
        <v>x</v>
      </c>
      <c r="BY238" s="4" t="str">
        <f t="shared" si="266"/>
        <v>нет</v>
      </c>
      <c r="BZ238" s="4" t="str">
        <f t="shared" si="250"/>
        <v>x</v>
      </c>
      <c r="CA238" s="4" t="str">
        <f t="shared" si="250"/>
        <v>x</v>
      </c>
      <c r="CB238" s="4" t="str">
        <f t="shared" si="250"/>
        <v>x</v>
      </c>
      <c r="CC238" s="4" t="str">
        <f>"1962"</f>
        <v>1962</v>
      </c>
      <c r="CD238" s="4" t="str">
        <f>"50,00"</f>
        <v>50,00</v>
      </c>
      <c r="CE238" s="4" t="str">
        <f>"2020-2022"</f>
        <v>2020-2022</v>
      </c>
      <c r="CF238" s="4" t="str">
        <f>"1962"</f>
        <v>1962</v>
      </c>
      <c r="CG238" s="4" t="str">
        <f>"45,00"</f>
        <v>45,00</v>
      </c>
      <c r="CH238" s="4" t="str">
        <f>"2040-2042"</f>
        <v>2040-2042</v>
      </c>
      <c r="CI238" s="4" t="str">
        <f>"44,00"</f>
        <v>44,00</v>
      </c>
      <c r="CJ238" s="4" t="str">
        <f>"2020-2022"</f>
        <v>2020-2022</v>
      </c>
    </row>
    <row r="239" spans="1:88" ht="11.25" customHeight="1">
      <c r="A239" s="45" t="str">
        <f>"24.226"</f>
        <v>24.226</v>
      </c>
      <c r="B239" s="46" t="str">
        <f>"г. Харовск, ул.Энергетиков, д.2А"</f>
        <v>г. Харовск, ул.Энергетиков, д.2А</v>
      </c>
      <c r="C239" s="6" t="str">
        <f>"1989"</f>
        <v>1989</v>
      </c>
      <c r="D239" s="4" t="str">
        <f>"1989"</f>
        <v>1989</v>
      </c>
      <c r="E239" s="4" t="str">
        <f>"25,00"</f>
        <v>25,00</v>
      </c>
      <c r="F239" s="4" t="str">
        <f>"2033-2035"</f>
        <v>2033-2035</v>
      </c>
      <c r="G239" s="4" t="str">
        <f t="shared" si="251"/>
        <v>нет</v>
      </c>
      <c r="H239" s="4" t="str">
        <f>""</f>
        <v/>
      </c>
      <c r="I239" s="4" t="str">
        <f>""</f>
        <v/>
      </c>
      <c r="J239" s="4" t="str">
        <f>""</f>
        <v/>
      </c>
      <c r="K239" s="4" t="str">
        <f t="shared" si="235"/>
        <v>нет</v>
      </c>
      <c r="L239" s="4" t="str">
        <f>""</f>
        <v/>
      </c>
      <c r="M239" s="4" t="str">
        <f>""</f>
        <v/>
      </c>
      <c r="N239" s="4" t="str">
        <f>""</f>
        <v/>
      </c>
      <c r="O239" s="7" t="str">
        <f>"1989"</f>
        <v>1989</v>
      </c>
      <c r="P239" s="4" t="str">
        <f>"25,00"</f>
        <v>25,00</v>
      </c>
      <c r="Q239" s="4" t="str">
        <f>"2033-2035"</f>
        <v>2033-2035</v>
      </c>
      <c r="R239" s="4" t="str">
        <f>"да"</f>
        <v>да</v>
      </c>
      <c r="S239" s="4" t="str">
        <f>"2009"</f>
        <v>2009</v>
      </c>
      <c r="T239" s="4" t="str">
        <f>"75,00"</f>
        <v>75,00</v>
      </c>
      <c r="U239" s="4" t="str">
        <f>"2033-2035"</f>
        <v>2033-2035</v>
      </c>
      <c r="V239" s="4" t="str">
        <f t="shared" si="253"/>
        <v>нет</v>
      </c>
      <c r="W239" s="4" t="str">
        <f>""</f>
        <v/>
      </c>
      <c r="X239" s="4" t="str">
        <f>""</f>
        <v/>
      </c>
      <c r="Y239" s="8" t="str">
        <f>""</f>
        <v/>
      </c>
      <c r="Z239" s="4" t="str">
        <f t="shared" si="262"/>
        <v>х</v>
      </c>
      <c r="AA239" s="4" t="str">
        <f t="shared" si="262"/>
        <v>х</v>
      </c>
      <c r="AB239" s="4" t="str">
        <f t="shared" si="262"/>
        <v>х</v>
      </c>
      <c r="AC239" s="4" t="str">
        <f t="shared" si="262"/>
        <v>х</v>
      </c>
      <c r="AD239" s="4" t="str">
        <f t="shared" si="262"/>
        <v>х</v>
      </c>
      <c r="AE239" s="4" t="str">
        <f t="shared" si="262"/>
        <v>х</v>
      </c>
      <c r="AF239" s="4" t="str">
        <f t="shared" si="262"/>
        <v>х</v>
      </c>
      <c r="AG239" s="4" t="str">
        <f t="shared" si="262"/>
        <v>х</v>
      </c>
      <c r="AH239" s="4" t="str">
        <f t="shared" si="262"/>
        <v>х</v>
      </c>
      <c r="AI239" s="4" t="str">
        <f t="shared" si="262"/>
        <v>х</v>
      </c>
      <c r="AJ239" s="4" t="str">
        <f t="shared" si="262"/>
        <v>х</v>
      </c>
      <c r="AK239" s="7" t="str">
        <f>"1989"</f>
        <v>1989</v>
      </c>
      <c r="AL239" s="4" t="str">
        <f>"25,00"</f>
        <v>25,00</v>
      </c>
      <c r="AM239" s="4" t="str">
        <f>"2033-2035"</f>
        <v>2033-2035</v>
      </c>
      <c r="AN239" s="4" t="str">
        <f>"да"</f>
        <v>да</v>
      </c>
      <c r="AO239" s="4" t="str">
        <f>"2013"</f>
        <v>2013</v>
      </c>
      <c r="AP239" s="4" t="str">
        <f>"0,00"</f>
        <v>0,00</v>
      </c>
      <c r="AQ239" s="4" t="str">
        <f>"2033-2035"</f>
        <v>2033-2035</v>
      </c>
      <c r="AR239" s="4" t="str">
        <f t="shared" si="254"/>
        <v>нет</v>
      </c>
      <c r="AS239" s="4" t="str">
        <f>""</f>
        <v/>
      </c>
      <c r="AT239" s="4" t="str">
        <f>""</f>
        <v/>
      </c>
      <c r="AU239" s="4" t="str">
        <f>""</f>
        <v/>
      </c>
      <c r="AV239" s="4" t="str">
        <f t="shared" si="269"/>
        <v>х</v>
      </c>
      <c r="AW239" s="4" t="str">
        <f t="shared" si="269"/>
        <v>х</v>
      </c>
      <c r="AX239" s="4" t="str">
        <f t="shared" si="269"/>
        <v>х</v>
      </c>
      <c r="AY239" s="4" t="str">
        <f t="shared" si="269"/>
        <v>х</v>
      </c>
      <c r="AZ239" s="4" t="str">
        <f t="shared" si="269"/>
        <v>х</v>
      </c>
      <c r="BA239" s="4" t="str">
        <f t="shared" si="269"/>
        <v>х</v>
      </c>
      <c r="BB239" s="4" t="str">
        <f t="shared" si="269"/>
        <v>х</v>
      </c>
      <c r="BC239" s="4" t="str">
        <f t="shared" si="269"/>
        <v>х</v>
      </c>
      <c r="BD239" s="4" t="str">
        <f t="shared" si="269"/>
        <v>х</v>
      </c>
      <c r="BE239" s="4" t="str">
        <f t="shared" si="269"/>
        <v>х</v>
      </c>
      <c r="BF239" s="4" t="str">
        <f t="shared" si="269"/>
        <v>х</v>
      </c>
      <c r="BG239" s="4" t="str">
        <f>"1989"</f>
        <v>1989</v>
      </c>
      <c r="BH239" s="4" t="str">
        <f>"25,00"</f>
        <v>25,00</v>
      </c>
      <c r="BI239" s="4" t="str">
        <f>"2033-2035"</f>
        <v>2033-2035</v>
      </c>
      <c r="BJ239" s="4" t="str">
        <f t="shared" si="267"/>
        <v>нет</v>
      </c>
      <c r="BK239" s="4" t="str">
        <f>""</f>
        <v/>
      </c>
      <c r="BL239" s="4" t="str">
        <f>""</f>
        <v/>
      </c>
      <c r="BM239" s="4" t="str">
        <f>""</f>
        <v/>
      </c>
      <c r="BN239" s="4" t="str">
        <f t="shared" si="268"/>
        <v>нет</v>
      </c>
      <c r="BO239" s="4" t="str">
        <f>""</f>
        <v/>
      </c>
      <c r="BP239" s="4" t="str">
        <f>""</f>
        <v/>
      </c>
      <c r="BQ239" s="4" t="str">
        <f>""</f>
        <v/>
      </c>
      <c r="BR239" s="4" t="str">
        <f>"1989"</f>
        <v>1989</v>
      </c>
      <c r="BS239" s="4" t="str">
        <f>"15,00"</f>
        <v>15,00</v>
      </c>
      <c r="BT239" s="4" t="str">
        <f>"2033-2035"</f>
        <v>2033-2035</v>
      </c>
      <c r="BU239" s="4" t="str">
        <f t="shared" si="237"/>
        <v>нет</v>
      </c>
      <c r="BV239" s="4" t="str">
        <f t="shared" si="264"/>
        <v>x</v>
      </c>
      <c r="BW239" s="4" t="str">
        <f t="shared" si="264"/>
        <v>x</v>
      </c>
      <c r="BX239" s="4" t="str">
        <f t="shared" si="264"/>
        <v>x</v>
      </c>
      <c r="BY239" s="4" t="str">
        <f t="shared" si="266"/>
        <v>нет</v>
      </c>
      <c r="BZ239" s="4" t="str">
        <f t="shared" si="250"/>
        <v>x</v>
      </c>
      <c r="CA239" s="4" t="str">
        <f t="shared" si="250"/>
        <v>x</v>
      </c>
      <c r="CB239" s="4" t="str">
        <f t="shared" si="250"/>
        <v>x</v>
      </c>
      <c r="CC239" s="4" t="str">
        <f>"1989"</f>
        <v>1989</v>
      </c>
      <c r="CD239" s="4" t="str">
        <f>"15,00"</f>
        <v>15,00</v>
      </c>
      <c r="CE239" s="4" t="str">
        <f>"2033-2035"</f>
        <v>2033-2035</v>
      </c>
      <c r="CF239" s="4" t="str">
        <f>"1989"</f>
        <v>1989</v>
      </c>
      <c r="CG239" s="4" t="str">
        <f>"10,00"</f>
        <v>10,00</v>
      </c>
      <c r="CH239" s="4" t="str">
        <f>"2033-2035"</f>
        <v>2033-2035</v>
      </c>
      <c r="CI239" s="4" t="str">
        <f>"17,00"</f>
        <v>17,00</v>
      </c>
      <c r="CJ239" s="4" t="str">
        <f>"2033-2035"</f>
        <v>2033-2035</v>
      </c>
    </row>
    <row r="240" spans="1:88" ht="11.25" customHeight="1">
      <c r="A240" s="45" t="str">
        <f>"24.227"</f>
        <v>24.227</v>
      </c>
      <c r="B240" s="46" t="str">
        <f>"г. Харовск, ул.Энергетиков, д.3А"</f>
        <v>г. Харовск, ул.Энергетиков, д.3А</v>
      </c>
      <c r="C240" s="6" t="str">
        <f>"2002"</f>
        <v>2002</v>
      </c>
      <c r="D240" s="4" t="str">
        <f>"2002"</f>
        <v>2002</v>
      </c>
      <c r="E240" s="4" t="str">
        <f>"10,00"</f>
        <v>10,00</v>
      </c>
      <c r="F240" s="4" t="str">
        <f>"2036-2038"</f>
        <v>2036-2038</v>
      </c>
      <c r="G240" s="4" t="str">
        <f t="shared" si="251"/>
        <v>нет</v>
      </c>
      <c r="H240" s="4" t="str">
        <f>""</f>
        <v/>
      </c>
      <c r="I240" s="4" t="str">
        <f>""</f>
        <v/>
      </c>
      <c r="J240" s="4" t="str">
        <f>""</f>
        <v/>
      </c>
      <c r="K240" s="4" t="str">
        <f t="shared" si="235"/>
        <v>нет</v>
      </c>
      <c r="L240" s="4" t="str">
        <f>""</f>
        <v/>
      </c>
      <c r="M240" s="4" t="str">
        <f>""</f>
        <v/>
      </c>
      <c r="N240" s="4" t="str">
        <f>""</f>
        <v/>
      </c>
      <c r="O240" s="7" t="str">
        <f>"2002"</f>
        <v>2002</v>
      </c>
      <c r="P240" s="4" t="str">
        <f>"10,00"</f>
        <v>10,00</v>
      </c>
      <c r="Q240" s="4" t="str">
        <f>"2036-2038"</f>
        <v>2036-2038</v>
      </c>
      <c r="R240" s="4" t="str">
        <f>"нет"</f>
        <v>нет</v>
      </c>
      <c r="S240" s="4" t="str">
        <f>""</f>
        <v/>
      </c>
      <c r="T240" s="4" t="str">
        <f>""</f>
        <v/>
      </c>
      <c r="U240" s="4" t="str">
        <f>""</f>
        <v/>
      </c>
      <c r="V240" s="4" t="str">
        <f t="shared" si="253"/>
        <v>нет</v>
      </c>
      <c r="W240" s="4" t="str">
        <f>""</f>
        <v/>
      </c>
      <c r="X240" s="4" t="str">
        <f>""</f>
        <v/>
      </c>
      <c r="Y240" s="8" t="str">
        <f>""</f>
        <v/>
      </c>
      <c r="Z240" s="4" t="str">
        <f t="shared" si="262"/>
        <v>х</v>
      </c>
      <c r="AA240" s="4" t="str">
        <f t="shared" si="262"/>
        <v>х</v>
      </c>
      <c r="AB240" s="4" t="str">
        <f t="shared" si="262"/>
        <v>х</v>
      </c>
      <c r="AC240" s="4" t="str">
        <f t="shared" si="262"/>
        <v>х</v>
      </c>
      <c r="AD240" s="4" t="str">
        <f t="shared" si="262"/>
        <v>х</v>
      </c>
      <c r="AE240" s="4" t="str">
        <f t="shared" si="262"/>
        <v>х</v>
      </c>
      <c r="AF240" s="4" t="str">
        <f t="shared" si="262"/>
        <v>х</v>
      </c>
      <c r="AG240" s="4" t="str">
        <f t="shared" si="262"/>
        <v>х</v>
      </c>
      <c r="AH240" s="4" t="str">
        <f t="shared" si="262"/>
        <v>х</v>
      </c>
      <c r="AI240" s="4" t="str">
        <f t="shared" si="262"/>
        <v>х</v>
      </c>
      <c r="AJ240" s="4" t="str">
        <f t="shared" si="262"/>
        <v>х</v>
      </c>
      <c r="AK240" s="7" t="str">
        <f>"2002"</f>
        <v>2002</v>
      </c>
      <c r="AL240" s="4" t="str">
        <f>"10,00"</f>
        <v>10,00</v>
      </c>
      <c r="AM240" s="4" t="str">
        <f>"2036-2038"</f>
        <v>2036-2038</v>
      </c>
      <c r="AN240" s="4" t="str">
        <f>"нет"</f>
        <v>нет</v>
      </c>
      <c r="AO240" s="4" t="str">
        <f>""</f>
        <v/>
      </c>
      <c r="AP240" s="4" t="str">
        <f>""</f>
        <v/>
      </c>
      <c r="AQ240" s="4" t="str">
        <f>""</f>
        <v/>
      </c>
      <c r="AR240" s="4" t="str">
        <f t="shared" si="254"/>
        <v>нет</v>
      </c>
      <c r="AS240" s="4" t="str">
        <f>""</f>
        <v/>
      </c>
      <c r="AT240" s="4" t="str">
        <f>""</f>
        <v/>
      </c>
      <c r="AU240" s="4" t="str">
        <f>""</f>
        <v/>
      </c>
      <c r="AV240" s="4" t="str">
        <f>"2002"</f>
        <v>2002</v>
      </c>
      <c r="AW240" s="4" t="str">
        <f>"10,00"</f>
        <v>10,00</v>
      </c>
      <c r="AX240" s="4" t="str">
        <f>"2036-2038"</f>
        <v>2036-2038</v>
      </c>
      <c r="AY240" s="4" t="str">
        <f>"нет"</f>
        <v>нет</v>
      </c>
      <c r="AZ240" s="4" t="str">
        <f>""</f>
        <v/>
      </c>
      <c r="BA240" s="4" t="str">
        <f>""</f>
        <v/>
      </c>
      <c r="BB240" s="4" t="str">
        <f>""</f>
        <v/>
      </c>
      <c r="BC240" s="4" t="str">
        <f>"нет"</f>
        <v>нет</v>
      </c>
      <c r="BD240" s="4" t="str">
        <f>""</f>
        <v/>
      </c>
      <c r="BE240" s="4" t="str">
        <f>""</f>
        <v/>
      </c>
      <c r="BF240" s="4" t="str">
        <f>""</f>
        <v/>
      </c>
      <c r="BG240" s="4" t="str">
        <f>"2002"</f>
        <v>2002</v>
      </c>
      <c r="BH240" s="4" t="str">
        <f>"10,00"</f>
        <v>10,00</v>
      </c>
      <c r="BI240" s="4" t="str">
        <f>"2036-2038"</f>
        <v>2036-2038</v>
      </c>
      <c r="BJ240" s="4" t="str">
        <f t="shared" si="267"/>
        <v>нет</v>
      </c>
      <c r="BK240" s="4" t="str">
        <f>""</f>
        <v/>
      </c>
      <c r="BL240" s="4" t="str">
        <f>""</f>
        <v/>
      </c>
      <c r="BM240" s="4" t="str">
        <f>""</f>
        <v/>
      </c>
      <c r="BN240" s="4" t="str">
        <f t="shared" si="268"/>
        <v>нет</v>
      </c>
      <c r="BO240" s="4" t="str">
        <f>""</f>
        <v/>
      </c>
      <c r="BP240" s="4" t="str">
        <f>""</f>
        <v/>
      </c>
      <c r="BQ240" s="4" t="str">
        <f>""</f>
        <v/>
      </c>
      <c r="BR240" s="4" t="str">
        <f>"2002"</f>
        <v>2002</v>
      </c>
      <c r="BS240" s="4" t="str">
        <f>"10,00"</f>
        <v>10,00</v>
      </c>
      <c r="BT240" s="4" t="str">
        <f>"2036-2038"</f>
        <v>2036-2038</v>
      </c>
      <c r="BU240" s="4" t="str">
        <f t="shared" si="237"/>
        <v>нет</v>
      </c>
      <c r="BV240" s="4" t="str">
        <f t="shared" si="264"/>
        <v>x</v>
      </c>
      <c r="BW240" s="4" t="str">
        <f t="shared" si="264"/>
        <v>x</v>
      </c>
      <c r="BX240" s="4" t="str">
        <f t="shared" si="264"/>
        <v>x</v>
      </c>
      <c r="BY240" s="4" t="str">
        <f t="shared" si="266"/>
        <v>нет</v>
      </c>
      <c r="BZ240" s="4" t="str">
        <f t="shared" ref="BZ240:CB251" si="270">"x"</f>
        <v>x</v>
      </c>
      <c r="CA240" s="4" t="str">
        <f t="shared" si="270"/>
        <v>x</v>
      </c>
      <c r="CB240" s="4" t="str">
        <f t="shared" si="270"/>
        <v>x</v>
      </c>
      <c r="CC240" s="4" t="str">
        <f>"2002"</f>
        <v>2002</v>
      </c>
      <c r="CD240" s="4" t="str">
        <f>"10,00"</f>
        <v>10,00</v>
      </c>
      <c r="CE240" s="4" t="str">
        <f>"2036-2038"</f>
        <v>2036-2038</v>
      </c>
      <c r="CF240" s="4" t="str">
        <f>"2002"</f>
        <v>2002</v>
      </c>
      <c r="CG240" s="4" t="str">
        <f>"5,00"</f>
        <v>5,00</v>
      </c>
      <c r="CH240" s="4" t="str">
        <f>"2036-2038"</f>
        <v>2036-2038</v>
      </c>
      <c r="CI240" s="4" t="str">
        <f>"4,00"</f>
        <v>4,00</v>
      </c>
      <c r="CJ240" s="4" t="str">
        <f>"2036-2038"</f>
        <v>2036-2038</v>
      </c>
    </row>
    <row r="241" spans="1:88" ht="11.25" customHeight="1">
      <c r="A241" s="45" t="str">
        <f>"24.228"</f>
        <v>24.228</v>
      </c>
      <c r="B241" s="46" t="str">
        <f>"г. Харовск, ул.Энергетиков, д.33А"</f>
        <v>г. Харовск, ул.Энергетиков, д.33А</v>
      </c>
      <c r="C241" s="6" t="str">
        <f>"1988"</f>
        <v>1988</v>
      </c>
      <c r="D241" s="4" t="str">
        <f>"1988"</f>
        <v>1988</v>
      </c>
      <c r="E241" s="4" t="str">
        <f>"10,00"</f>
        <v>10,00</v>
      </c>
      <c r="F241" s="4" t="str">
        <f>"2033-2035"</f>
        <v>2033-2035</v>
      </c>
      <c r="G241" s="4" t="str">
        <f t="shared" si="251"/>
        <v>нет</v>
      </c>
      <c r="H241" s="4" t="str">
        <f>""</f>
        <v/>
      </c>
      <c r="I241" s="4" t="str">
        <f>""</f>
        <v/>
      </c>
      <c r="J241" s="4" t="str">
        <f>""</f>
        <v/>
      </c>
      <c r="K241" s="4" t="str">
        <f t="shared" si="235"/>
        <v>нет</v>
      </c>
      <c r="L241" s="4" t="str">
        <f>""</f>
        <v/>
      </c>
      <c r="M241" s="4" t="str">
        <f>""</f>
        <v/>
      </c>
      <c r="N241" s="4" t="str">
        <f>""</f>
        <v/>
      </c>
      <c r="O241" s="7" t="str">
        <f>"1988"</f>
        <v>1988</v>
      </c>
      <c r="P241" s="4" t="str">
        <f>"10,00"</f>
        <v>10,00</v>
      </c>
      <c r="Q241" s="4" t="str">
        <f>"2033-2035"</f>
        <v>2033-2035</v>
      </c>
      <c r="R241" s="4" t="str">
        <f>"да"</f>
        <v>да</v>
      </c>
      <c r="S241" s="4" t="str">
        <f>"2009"</f>
        <v>2009</v>
      </c>
      <c r="T241" s="4" t="str">
        <f>"75,00"</f>
        <v>75,00</v>
      </c>
      <c r="U241" s="4" t="str">
        <f>"2033-2035"</f>
        <v>2033-2035</v>
      </c>
      <c r="V241" s="4" t="str">
        <f t="shared" si="253"/>
        <v>нет</v>
      </c>
      <c r="W241" s="4" t="str">
        <f>""</f>
        <v/>
      </c>
      <c r="X241" s="4" t="str">
        <f>""</f>
        <v/>
      </c>
      <c r="Y241" s="8" t="str">
        <f>""</f>
        <v/>
      </c>
      <c r="Z241" s="4" t="str">
        <f t="shared" si="262"/>
        <v>х</v>
      </c>
      <c r="AA241" s="4" t="str">
        <f t="shared" si="262"/>
        <v>х</v>
      </c>
      <c r="AB241" s="4" t="str">
        <f t="shared" si="262"/>
        <v>х</v>
      </c>
      <c r="AC241" s="4" t="str">
        <f t="shared" si="262"/>
        <v>х</v>
      </c>
      <c r="AD241" s="4" t="str">
        <f t="shared" si="262"/>
        <v>х</v>
      </c>
      <c r="AE241" s="4" t="str">
        <f t="shared" si="262"/>
        <v>х</v>
      </c>
      <c r="AF241" s="4" t="str">
        <f t="shared" si="262"/>
        <v>х</v>
      </c>
      <c r="AG241" s="4" t="str">
        <f t="shared" si="262"/>
        <v>х</v>
      </c>
      <c r="AH241" s="4" t="str">
        <f t="shared" si="262"/>
        <v>х</v>
      </c>
      <c r="AI241" s="4" t="str">
        <f t="shared" si="262"/>
        <v>х</v>
      </c>
      <c r="AJ241" s="4" t="str">
        <f t="shared" si="262"/>
        <v>х</v>
      </c>
      <c r="AK241" s="7" t="str">
        <f>"1988"</f>
        <v>1988</v>
      </c>
      <c r="AL241" s="4" t="str">
        <f>"10,00"</f>
        <v>10,00</v>
      </c>
      <c r="AM241" s="4" t="str">
        <f>"2033-2035"</f>
        <v>2033-2035</v>
      </c>
      <c r="AN241" s="4" t="str">
        <f t="shared" ref="AN241:AN248" si="271">"да"</f>
        <v>да</v>
      </c>
      <c r="AO241" s="4" t="str">
        <f>"2013"</f>
        <v>2013</v>
      </c>
      <c r="AP241" s="4" t="str">
        <f>"0,00"</f>
        <v>0,00</v>
      </c>
      <c r="AQ241" s="4" t="str">
        <f>"2033-2035"</f>
        <v>2033-2035</v>
      </c>
      <c r="AR241" s="4" t="str">
        <f t="shared" si="254"/>
        <v>нет</v>
      </c>
      <c r="AS241" s="4" t="str">
        <f>""</f>
        <v/>
      </c>
      <c r="AT241" s="4" t="str">
        <f>""</f>
        <v/>
      </c>
      <c r="AU241" s="4" t="str">
        <f>""</f>
        <v/>
      </c>
      <c r="AV241" s="4" t="str">
        <f t="shared" ref="AV241:BF242" si="272">"х"</f>
        <v>х</v>
      </c>
      <c r="AW241" s="4" t="str">
        <f t="shared" si="272"/>
        <v>х</v>
      </c>
      <c r="AX241" s="4" t="str">
        <f t="shared" si="272"/>
        <v>х</v>
      </c>
      <c r="AY241" s="4" t="str">
        <f t="shared" si="272"/>
        <v>х</v>
      </c>
      <c r="AZ241" s="4" t="str">
        <f t="shared" si="272"/>
        <v>х</v>
      </c>
      <c r="BA241" s="4" t="str">
        <f t="shared" si="272"/>
        <v>х</v>
      </c>
      <c r="BB241" s="4" t="str">
        <f t="shared" si="272"/>
        <v>х</v>
      </c>
      <c r="BC241" s="4" t="str">
        <f t="shared" si="272"/>
        <v>х</v>
      </c>
      <c r="BD241" s="4" t="str">
        <f t="shared" si="272"/>
        <v>х</v>
      </c>
      <c r="BE241" s="4" t="str">
        <f t="shared" si="272"/>
        <v>х</v>
      </c>
      <c r="BF241" s="4" t="str">
        <f t="shared" si="272"/>
        <v>х</v>
      </c>
      <c r="BG241" s="4" t="str">
        <f>"1988"</f>
        <v>1988</v>
      </c>
      <c r="BH241" s="4" t="str">
        <f>"10,00"</f>
        <v>10,00</v>
      </c>
      <c r="BI241" s="4" t="str">
        <f>"2033-2035"</f>
        <v>2033-2035</v>
      </c>
      <c r="BJ241" s="4" t="str">
        <f t="shared" si="267"/>
        <v>нет</v>
      </c>
      <c r="BK241" s="4" t="str">
        <f>""</f>
        <v/>
      </c>
      <c r="BL241" s="4" t="str">
        <f>""</f>
        <v/>
      </c>
      <c r="BM241" s="4" t="str">
        <f>""</f>
        <v/>
      </c>
      <c r="BN241" s="4" t="str">
        <f t="shared" si="268"/>
        <v>нет</v>
      </c>
      <c r="BO241" s="4" t="str">
        <f>""</f>
        <v/>
      </c>
      <c r="BP241" s="4" t="str">
        <f>""</f>
        <v/>
      </c>
      <c r="BQ241" s="4" t="str">
        <f>""</f>
        <v/>
      </c>
      <c r="BR241" s="4" t="str">
        <f>"1988"</f>
        <v>1988</v>
      </c>
      <c r="BS241" s="4" t="str">
        <f>"10,00"</f>
        <v>10,00</v>
      </c>
      <c r="BT241" s="4" t="str">
        <f>"2033-2035"</f>
        <v>2033-2035</v>
      </c>
      <c r="BU241" s="4" t="str">
        <f t="shared" si="237"/>
        <v>нет</v>
      </c>
      <c r="BV241" s="4" t="str">
        <f t="shared" si="264"/>
        <v>x</v>
      </c>
      <c r="BW241" s="4" t="str">
        <f t="shared" si="264"/>
        <v>x</v>
      </c>
      <c r="BX241" s="4" t="str">
        <f t="shared" si="264"/>
        <v>x</v>
      </c>
      <c r="BY241" s="4" t="str">
        <f t="shared" si="266"/>
        <v>нет</v>
      </c>
      <c r="BZ241" s="4" t="str">
        <f t="shared" si="270"/>
        <v>x</v>
      </c>
      <c r="CA241" s="4" t="str">
        <f t="shared" si="270"/>
        <v>x</v>
      </c>
      <c r="CB241" s="4" t="str">
        <f t="shared" si="270"/>
        <v>x</v>
      </c>
      <c r="CC241" s="4" t="str">
        <f>"1988"</f>
        <v>1988</v>
      </c>
      <c r="CD241" s="4" t="str">
        <f>"5,00"</f>
        <v>5,00</v>
      </c>
      <c r="CE241" s="4" t="str">
        <f>"2033-2035"</f>
        <v>2033-2035</v>
      </c>
      <c r="CF241" s="4" t="str">
        <f>"1988"</f>
        <v>1988</v>
      </c>
      <c r="CG241" s="4" t="str">
        <f>"5,00"</f>
        <v>5,00</v>
      </c>
      <c r="CH241" s="4" t="str">
        <f>"2033-2035"</f>
        <v>2033-2035</v>
      </c>
      <c r="CI241" s="4" t="str">
        <f>"7,00"</f>
        <v>7,00</v>
      </c>
      <c r="CJ241" s="4" t="str">
        <f>"2033-2035"</f>
        <v>2033-2035</v>
      </c>
    </row>
    <row r="242" spans="1:88" ht="11.25" customHeight="1">
      <c r="A242" s="45" t="str">
        <f>"24.229"</f>
        <v>24.229</v>
      </c>
      <c r="B242" s="46" t="str">
        <f>"г. Харовск, ул.Энергетиков, д.35"</f>
        <v>г. Харовск, ул.Энергетиков, д.35</v>
      </c>
      <c r="C242" s="6" t="str">
        <f>"1987"</f>
        <v>1987</v>
      </c>
      <c r="D242" s="4" t="str">
        <f>"1987"</f>
        <v>1987</v>
      </c>
      <c r="E242" s="4" t="str">
        <f>"25,00"</f>
        <v>25,00</v>
      </c>
      <c r="F242" s="4" t="str">
        <f>"2032-2034"</f>
        <v>2032-2034</v>
      </c>
      <c r="G242" s="4" t="str">
        <f t="shared" si="251"/>
        <v>нет</v>
      </c>
      <c r="H242" s="4" t="str">
        <f>""</f>
        <v/>
      </c>
      <c r="I242" s="4" t="str">
        <f>""</f>
        <v/>
      </c>
      <c r="J242" s="4" t="str">
        <f>""</f>
        <v/>
      </c>
      <c r="K242" s="4" t="str">
        <f t="shared" si="235"/>
        <v>нет</v>
      </c>
      <c r="L242" s="4" t="str">
        <f>""</f>
        <v/>
      </c>
      <c r="M242" s="4" t="str">
        <f>""</f>
        <v/>
      </c>
      <c r="N242" s="4" t="str">
        <f>""</f>
        <v/>
      </c>
      <c r="O242" s="7" t="str">
        <f>"1987"</f>
        <v>1987</v>
      </c>
      <c r="P242" s="4" t="str">
        <f>"25,00"</f>
        <v>25,00</v>
      </c>
      <c r="Q242" s="4" t="str">
        <f>"2032-2034"</f>
        <v>2032-2034</v>
      </c>
      <c r="R242" s="4" t="str">
        <f>"да"</f>
        <v>да</v>
      </c>
      <c r="S242" s="4" t="str">
        <f>"2009"</f>
        <v>2009</v>
      </c>
      <c r="T242" s="4" t="str">
        <f>"75,00"</f>
        <v>75,00</v>
      </c>
      <c r="U242" s="4" t="str">
        <f>"2032-2034"</f>
        <v>2032-2034</v>
      </c>
      <c r="V242" s="4" t="str">
        <f t="shared" si="253"/>
        <v>нет</v>
      </c>
      <c r="W242" s="4" t="str">
        <f>""</f>
        <v/>
      </c>
      <c r="X242" s="4" t="str">
        <f>""</f>
        <v/>
      </c>
      <c r="Y242" s="8" t="str">
        <f>""</f>
        <v/>
      </c>
      <c r="Z242" s="4" t="str">
        <f t="shared" si="262"/>
        <v>х</v>
      </c>
      <c r="AA242" s="4" t="str">
        <f t="shared" si="262"/>
        <v>х</v>
      </c>
      <c r="AB242" s="4" t="str">
        <f t="shared" si="262"/>
        <v>х</v>
      </c>
      <c r="AC242" s="4" t="str">
        <f t="shared" si="262"/>
        <v>х</v>
      </c>
      <c r="AD242" s="4" t="str">
        <f t="shared" si="262"/>
        <v>х</v>
      </c>
      <c r="AE242" s="4" t="str">
        <f t="shared" si="262"/>
        <v>х</v>
      </c>
      <c r="AF242" s="4" t="str">
        <f t="shared" si="262"/>
        <v>х</v>
      </c>
      <c r="AG242" s="4" t="str">
        <f t="shared" si="262"/>
        <v>х</v>
      </c>
      <c r="AH242" s="4" t="str">
        <f t="shared" si="262"/>
        <v>х</v>
      </c>
      <c r="AI242" s="4" t="str">
        <f t="shared" si="262"/>
        <v>х</v>
      </c>
      <c r="AJ242" s="4" t="str">
        <f t="shared" si="262"/>
        <v>х</v>
      </c>
      <c r="AK242" s="7" t="str">
        <f>"1987"</f>
        <v>1987</v>
      </c>
      <c r="AL242" s="4" t="str">
        <f>"25,00"</f>
        <v>25,00</v>
      </c>
      <c r="AM242" s="4" t="str">
        <f>"2032-2034"</f>
        <v>2032-2034</v>
      </c>
      <c r="AN242" s="4" t="str">
        <f t="shared" si="271"/>
        <v>да</v>
      </c>
      <c r="AO242" s="4" t="str">
        <f>"2013"</f>
        <v>2013</v>
      </c>
      <c r="AP242" s="4" t="str">
        <f>"0,00"</f>
        <v>0,00</v>
      </c>
      <c r="AQ242" s="4" t="str">
        <f>"2032-2034"</f>
        <v>2032-2034</v>
      </c>
      <c r="AR242" s="4" t="str">
        <f t="shared" si="254"/>
        <v>нет</v>
      </c>
      <c r="AS242" s="4" t="str">
        <f>""</f>
        <v/>
      </c>
      <c r="AT242" s="4" t="str">
        <f>""</f>
        <v/>
      </c>
      <c r="AU242" s="4" t="str">
        <f>""</f>
        <v/>
      </c>
      <c r="AV242" s="4" t="str">
        <f t="shared" si="272"/>
        <v>х</v>
      </c>
      <c r="AW242" s="4" t="str">
        <f t="shared" si="272"/>
        <v>х</v>
      </c>
      <c r="AX242" s="4" t="str">
        <f t="shared" si="272"/>
        <v>х</v>
      </c>
      <c r="AY242" s="4" t="str">
        <f t="shared" si="272"/>
        <v>х</v>
      </c>
      <c r="AZ242" s="4" t="str">
        <f t="shared" si="272"/>
        <v>х</v>
      </c>
      <c r="BA242" s="4" t="str">
        <f t="shared" si="272"/>
        <v>х</v>
      </c>
      <c r="BB242" s="4" t="str">
        <f t="shared" si="272"/>
        <v>х</v>
      </c>
      <c r="BC242" s="4" t="str">
        <f t="shared" si="272"/>
        <v>х</v>
      </c>
      <c r="BD242" s="4" t="str">
        <f t="shared" si="272"/>
        <v>х</v>
      </c>
      <c r="BE242" s="4" t="str">
        <f t="shared" si="272"/>
        <v>х</v>
      </c>
      <c r="BF242" s="4" t="str">
        <f t="shared" si="272"/>
        <v>х</v>
      </c>
      <c r="BG242" s="4" t="str">
        <f>"1987"</f>
        <v>1987</v>
      </c>
      <c r="BH242" s="4" t="str">
        <f>"25,00"</f>
        <v>25,00</v>
      </c>
      <c r="BI242" s="4" t="str">
        <f>"2032-2034"</f>
        <v>2032-2034</v>
      </c>
      <c r="BJ242" s="4" t="str">
        <f t="shared" si="267"/>
        <v>нет</v>
      </c>
      <c r="BK242" s="4" t="str">
        <f>""</f>
        <v/>
      </c>
      <c r="BL242" s="4" t="str">
        <f>""</f>
        <v/>
      </c>
      <c r="BM242" s="4" t="str">
        <f>""</f>
        <v/>
      </c>
      <c r="BN242" s="4" t="str">
        <f t="shared" si="268"/>
        <v>нет</v>
      </c>
      <c r="BO242" s="4" t="str">
        <f>""</f>
        <v/>
      </c>
      <c r="BP242" s="4" t="str">
        <f>""</f>
        <v/>
      </c>
      <c r="BQ242" s="4" t="str">
        <f>""</f>
        <v/>
      </c>
      <c r="BR242" s="4" t="str">
        <f>"1987"</f>
        <v>1987</v>
      </c>
      <c r="BS242" s="4" t="str">
        <f>"30,00"</f>
        <v>30,00</v>
      </c>
      <c r="BT242" s="4" t="str">
        <f>"2032-2034"</f>
        <v>2032-2034</v>
      </c>
      <c r="BU242" s="4" t="str">
        <f t="shared" si="237"/>
        <v>нет</v>
      </c>
      <c r="BV242" s="4" t="str">
        <f t="shared" si="264"/>
        <v>x</v>
      </c>
      <c r="BW242" s="4" t="str">
        <f t="shared" si="264"/>
        <v>x</v>
      </c>
      <c r="BX242" s="4" t="str">
        <f t="shared" si="264"/>
        <v>x</v>
      </c>
      <c r="BY242" s="4" t="str">
        <f t="shared" si="266"/>
        <v>нет</v>
      </c>
      <c r="BZ242" s="4" t="str">
        <f t="shared" si="270"/>
        <v>x</v>
      </c>
      <c r="CA242" s="4" t="str">
        <f t="shared" si="270"/>
        <v>x</v>
      </c>
      <c r="CB242" s="4" t="str">
        <f t="shared" si="270"/>
        <v>x</v>
      </c>
      <c r="CC242" s="4" t="str">
        <f>"1987"</f>
        <v>1987</v>
      </c>
      <c r="CD242" s="4" t="str">
        <f>"15,00"</f>
        <v>15,00</v>
      </c>
      <c r="CE242" s="4" t="str">
        <f>"2032-2034"</f>
        <v>2032-2034</v>
      </c>
      <c r="CF242" s="4" t="str">
        <f>"1987"</f>
        <v>1987</v>
      </c>
      <c r="CG242" s="4" t="str">
        <f>"15,00"</f>
        <v>15,00</v>
      </c>
      <c r="CH242" s="4" t="str">
        <f>"2032-2034"</f>
        <v>2032-2034</v>
      </c>
      <c r="CI242" s="4" t="str">
        <f>"19,00"</f>
        <v>19,00</v>
      </c>
      <c r="CJ242" s="4" t="str">
        <f>"2032-2034"</f>
        <v>2032-2034</v>
      </c>
    </row>
    <row r="243" spans="1:88" ht="11.25" customHeight="1">
      <c r="A243" s="45" t="str">
        <f>"24.230"</f>
        <v>24.230</v>
      </c>
      <c r="B243" s="46" t="str">
        <f>"г. Харовск, ул.Энергетиков, д.4А"</f>
        <v>г. Харовск, ул.Энергетиков, д.4А</v>
      </c>
      <c r="C243" s="6" t="str">
        <f>"1971"</f>
        <v>1971</v>
      </c>
      <c r="D243" s="4" t="str">
        <f>"1971"</f>
        <v>1971</v>
      </c>
      <c r="E243" s="4" t="str">
        <f>"5,00"</f>
        <v>5,00</v>
      </c>
      <c r="F243" s="4" t="str">
        <f>"2024-2026"</f>
        <v>2024-2026</v>
      </c>
      <c r="G243" s="4" t="str">
        <f t="shared" si="251"/>
        <v>нет</v>
      </c>
      <c r="H243" s="4" t="str">
        <f>""</f>
        <v/>
      </c>
      <c r="I243" s="4" t="str">
        <f>""</f>
        <v/>
      </c>
      <c r="J243" s="4" t="str">
        <f>""</f>
        <v/>
      </c>
      <c r="K243" s="4" t="str">
        <f t="shared" si="235"/>
        <v>нет</v>
      </c>
      <c r="L243" s="4" t="str">
        <f>""</f>
        <v/>
      </c>
      <c r="M243" s="4" t="str">
        <f>""</f>
        <v/>
      </c>
      <c r="N243" s="4" t="str">
        <f>""</f>
        <v/>
      </c>
      <c r="O243" s="7" t="str">
        <f>"1971"</f>
        <v>1971</v>
      </c>
      <c r="P243" s="4" t="str">
        <f>"5,00"</f>
        <v>5,00</v>
      </c>
      <c r="Q243" s="4" t="str">
        <f>"2024-2026"</f>
        <v>2024-2026</v>
      </c>
      <c r="R243" s="4" t="str">
        <f>"нет"</f>
        <v>нет</v>
      </c>
      <c r="S243" s="4" t="str">
        <f>""</f>
        <v/>
      </c>
      <c r="T243" s="4" t="str">
        <f>""</f>
        <v/>
      </c>
      <c r="U243" s="4" t="str">
        <f>"2024-2026"</f>
        <v>2024-2026</v>
      </c>
      <c r="V243" s="4" t="str">
        <f t="shared" si="253"/>
        <v>нет</v>
      </c>
      <c r="W243" s="4" t="str">
        <f>""</f>
        <v/>
      </c>
      <c r="X243" s="4" t="str">
        <f>""</f>
        <v/>
      </c>
      <c r="Y243" s="8" t="str">
        <f>""</f>
        <v/>
      </c>
      <c r="Z243" s="4" t="str">
        <f t="shared" si="262"/>
        <v>х</v>
      </c>
      <c r="AA243" s="4" t="str">
        <f t="shared" si="262"/>
        <v>х</v>
      </c>
      <c r="AB243" s="4" t="str">
        <f t="shared" si="262"/>
        <v>х</v>
      </c>
      <c r="AC243" s="4" t="str">
        <f t="shared" si="262"/>
        <v>х</v>
      </c>
      <c r="AD243" s="4" t="str">
        <f t="shared" si="262"/>
        <v>х</v>
      </c>
      <c r="AE243" s="4" t="str">
        <f t="shared" si="262"/>
        <v>х</v>
      </c>
      <c r="AF243" s="4" t="str">
        <f t="shared" si="262"/>
        <v>х</v>
      </c>
      <c r="AG243" s="4" t="str">
        <f t="shared" si="262"/>
        <v>х</v>
      </c>
      <c r="AH243" s="4" t="str">
        <f t="shared" si="262"/>
        <v>х</v>
      </c>
      <c r="AI243" s="4" t="str">
        <f t="shared" si="262"/>
        <v>х</v>
      </c>
      <c r="AJ243" s="4" t="str">
        <f t="shared" si="262"/>
        <v>х</v>
      </c>
      <c r="AK243" s="7" t="str">
        <f>"1971"</f>
        <v>1971</v>
      </c>
      <c r="AL243" s="4" t="str">
        <f>"5,00"</f>
        <v>5,00</v>
      </c>
      <c r="AM243" s="4" t="str">
        <f>"2024-2026"</f>
        <v>2024-2026</v>
      </c>
      <c r="AN243" s="4" t="str">
        <f t="shared" si="271"/>
        <v>да</v>
      </c>
      <c r="AO243" s="4" t="str">
        <f>"2013"</f>
        <v>2013</v>
      </c>
      <c r="AP243" s="4" t="str">
        <f>"0,00"</f>
        <v>0,00</v>
      </c>
      <c r="AQ243" s="4" t="str">
        <f>"2024-2026"</f>
        <v>2024-2026</v>
      </c>
      <c r="AR243" s="4" t="str">
        <f t="shared" si="254"/>
        <v>нет</v>
      </c>
      <c r="AS243" s="4" t="str">
        <f>""</f>
        <v/>
      </c>
      <c r="AT243" s="4" t="str">
        <f>""</f>
        <v/>
      </c>
      <c r="AU243" s="4" t="str">
        <f>""</f>
        <v/>
      </c>
      <c r="AV243" s="4" t="str">
        <f>"1971"</f>
        <v>1971</v>
      </c>
      <c r="AW243" s="4" t="str">
        <f>"5,00"</f>
        <v>5,00</v>
      </c>
      <c r="AX243" s="4" t="str">
        <f>"2024-2026"</f>
        <v>2024-2026</v>
      </c>
      <c r="AY243" s="4" t="str">
        <f t="shared" ref="AY243:BF243" si="273">"х"</f>
        <v>х</v>
      </c>
      <c r="AZ243" s="4" t="str">
        <f t="shared" si="273"/>
        <v>х</v>
      </c>
      <c r="BA243" s="4" t="str">
        <f t="shared" si="273"/>
        <v>х</v>
      </c>
      <c r="BB243" s="4" t="str">
        <f t="shared" si="273"/>
        <v>х</v>
      </c>
      <c r="BC243" s="4" t="str">
        <f t="shared" si="273"/>
        <v>х</v>
      </c>
      <c r="BD243" s="4" t="str">
        <f t="shared" si="273"/>
        <v>х</v>
      </c>
      <c r="BE243" s="4" t="str">
        <f t="shared" si="273"/>
        <v>х</v>
      </c>
      <c r="BF243" s="4" t="str">
        <f t="shared" si="273"/>
        <v>х</v>
      </c>
      <c r="BG243" s="4" t="str">
        <f>"1971"</f>
        <v>1971</v>
      </c>
      <c r="BH243" s="4" t="str">
        <f>"5,00"</f>
        <v>5,00</v>
      </c>
      <c r="BI243" s="4" t="str">
        <f>"2024-2026"</f>
        <v>2024-2026</v>
      </c>
      <c r="BJ243" s="4" t="str">
        <f t="shared" si="267"/>
        <v>нет</v>
      </c>
      <c r="BK243" s="4" t="str">
        <f>""</f>
        <v/>
      </c>
      <c r="BL243" s="4" t="str">
        <f>""</f>
        <v/>
      </c>
      <c r="BM243" s="4" t="str">
        <f>""</f>
        <v/>
      </c>
      <c r="BN243" s="4" t="str">
        <f t="shared" si="268"/>
        <v>нет</v>
      </c>
      <c r="BO243" s="4" t="str">
        <f>""</f>
        <v/>
      </c>
      <c r="BP243" s="4" t="str">
        <f>""</f>
        <v/>
      </c>
      <c r="BQ243" s="4" t="str">
        <f>""</f>
        <v/>
      </c>
      <c r="BR243" s="4" t="str">
        <f>"1971"</f>
        <v>1971</v>
      </c>
      <c r="BS243" s="4" t="str">
        <f>"5,00"</f>
        <v>5,00</v>
      </c>
      <c r="BT243" s="4" t="str">
        <f>"2024-2026"</f>
        <v>2024-2026</v>
      </c>
      <c r="BU243" s="4" t="str">
        <f t="shared" si="237"/>
        <v>нет</v>
      </c>
      <c r="BV243" s="4" t="str">
        <f t="shared" si="264"/>
        <v>x</v>
      </c>
      <c r="BW243" s="4" t="str">
        <f t="shared" si="264"/>
        <v>x</v>
      </c>
      <c r="BX243" s="4" t="str">
        <f t="shared" si="264"/>
        <v>x</v>
      </c>
      <c r="BY243" s="4" t="str">
        <f t="shared" si="266"/>
        <v>нет</v>
      </c>
      <c r="BZ243" s="4" t="str">
        <f t="shared" si="270"/>
        <v>x</v>
      </c>
      <c r="CA243" s="4" t="str">
        <f t="shared" si="270"/>
        <v>x</v>
      </c>
      <c r="CB243" s="4" t="str">
        <f t="shared" si="270"/>
        <v>x</v>
      </c>
      <c r="CC243" s="4" t="str">
        <f>"1971"</f>
        <v>1971</v>
      </c>
      <c r="CD243" s="4" t="str">
        <f>"30,00"</f>
        <v>30,00</v>
      </c>
      <c r="CE243" s="4" t="str">
        <f>"2024-2026"</f>
        <v>2024-2026</v>
      </c>
      <c r="CF243" s="4" t="str">
        <f>"1971"</f>
        <v>1971</v>
      </c>
      <c r="CG243" s="4" t="str">
        <f>"30,00"</f>
        <v>30,00</v>
      </c>
      <c r="CH243" s="4" t="str">
        <f>"2024-2026"</f>
        <v>2024-2026</v>
      </c>
      <c r="CI243" s="4" t="str">
        <f>"15,00"</f>
        <v>15,00</v>
      </c>
      <c r="CJ243" s="4" t="str">
        <f>"2024-2026"</f>
        <v>2024-2026</v>
      </c>
    </row>
    <row r="244" spans="1:88" ht="11.25" customHeight="1">
      <c r="A244" s="45" t="str">
        <f>"24.231"</f>
        <v>24.231</v>
      </c>
      <c r="B244" s="46" t="str">
        <f>"г. Харовск, ул.Энергетиков, д.5"</f>
        <v>г. Харовск, ул.Энергетиков, д.5</v>
      </c>
      <c r="C244" s="6" t="str">
        <f>"1990"</f>
        <v>1990</v>
      </c>
      <c r="D244" s="4" t="str">
        <f>"1990"</f>
        <v>1990</v>
      </c>
      <c r="E244" s="4" t="str">
        <f>"35,00"</f>
        <v>35,00</v>
      </c>
      <c r="F244" s="4" t="str">
        <f>"2034-2036"</f>
        <v>2034-2036</v>
      </c>
      <c r="G244" s="4" t="str">
        <f t="shared" si="251"/>
        <v>нет</v>
      </c>
      <c r="H244" s="4" t="str">
        <f>""</f>
        <v/>
      </c>
      <c r="I244" s="4" t="str">
        <f>""</f>
        <v/>
      </c>
      <c r="J244" s="4" t="str">
        <f>""</f>
        <v/>
      </c>
      <c r="K244" s="4" t="str">
        <f t="shared" si="235"/>
        <v>нет</v>
      </c>
      <c r="L244" s="4" t="str">
        <f>""</f>
        <v/>
      </c>
      <c r="M244" s="4" t="str">
        <f>""</f>
        <v/>
      </c>
      <c r="N244" s="4" t="str">
        <f>""</f>
        <v/>
      </c>
      <c r="O244" s="7" t="str">
        <f>"1990"</f>
        <v>1990</v>
      </c>
      <c r="P244" s="4" t="str">
        <f>"35,00"</f>
        <v>35,00</v>
      </c>
      <c r="Q244" s="4" t="str">
        <f>"2034-2036"</f>
        <v>2034-2036</v>
      </c>
      <c r="R244" s="4" t="str">
        <f>"да"</f>
        <v>да</v>
      </c>
      <c r="S244" s="4" t="str">
        <f>"2009"</f>
        <v>2009</v>
      </c>
      <c r="T244" s="4" t="str">
        <f>"75,00"</f>
        <v>75,00</v>
      </c>
      <c r="U244" s="4" t="str">
        <f>"2034-2036"</f>
        <v>2034-2036</v>
      </c>
      <c r="V244" s="4" t="str">
        <f t="shared" si="253"/>
        <v>нет</v>
      </c>
      <c r="W244" s="4" t="str">
        <f>""</f>
        <v/>
      </c>
      <c r="X244" s="4" t="str">
        <f>""</f>
        <v/>
      </c>
      <c r="Y244" s="8" t="str">
        <f>""</f>
        <v/>
      </c>
      <c r="Z244" s="4" t="str">
        <f>"1990"</f>
        <v>1990</v>
      </c>
      <c r="AA244" s="4" t="str">
        <f>"35,00"</f>
        <v>35,00</v>
      </c>
      <c r="AB244" s="4" t="str">
        <f>"2034-2036"</f>
        <v>2034-2036</v>
      </c>
      <c r="AC244" s="4" t="str">
        <f>"нет"</f>
        <v>нет</v>
      </c>
      <c r="AD244" s="4" t="str">
        <f>""</f>
        <v/>
      </c>
      <c r="AE244" s="4" t="str">
        <f>""</f>
        <v/>
      </c>
      <c r="AF244" s="4" t="str">
        <f>""</f>
        <v/>
      </c>
      <c r="AG244" s="4" t="str">
        <f>"нет"</f>
        <v>нет</v>
      </c>
      <c r="AH244" s="4" t="str">
        <f>""</f>
        <v/>
      </c>
      <c r="AI244" s="4" t="str">
        <f>""</f>
        <v/>
      </c>
      <c r="AJ244" s="4" t="str">
        <f>""</f>
        <v/>
      </c>
      <c r="AK244" s="7" t="str">
        <f>"1990"</f>
        <v>1990</v>
      </c>
      <c r="AL244" s="4" t="str">
        <f>"35,00"</f>
        <v>35,00</v>
      </c>
      <c r="AM244" s="4" t="str">
        <f>"2034-2036"</f>
        <v>2034-2036</v>
      </c>
      <c r="AN244" s="4" t="str">
        <f t="shared" si="271"/>
        <v>да</v>
      </c>
      <c r="AO244" s="4" t="str">
        <f>"2013"</f>
        <v>2013</v>
      </c>
      <c r="AP244" s="4" t="str">
        <f>"0,00"</f>
        <v>0,00</v>
      </c>
      <c r="AQ244" s="4" t="str">
        <f>"2034-2036"</f>
        <v>2034-2036</v>
      </c>
      <c r="AR244" s="4" t="str">
        <f t="shared" si="254"/>
        <v>нет</v>
      </c>
      <c r="AS244" s="4" t="str">
        <f>""</f>
        <v/>
      </c>
      <c r="AT244" s="4" t="str">
        <f>""</f>
        <v/>
      </c>
      <c r="AU244" s="4" t="str">
        <f>""</f>
        <v/>
      </c>
      <c r="AV244" s="4" t="str">
        <f>"1990"</f>
        <v>1990</v>
      </c>
      <c r="AW244" s="4" t="str">
        <f>"35,00"</f>
        <v>35,00</v>
      </c>
      <c r="AX244" s="4" t="str">
        <f>"2034-2036"</f>
        <v>2034-2036</v>
      </c>
      <c r="AY244" s="4" t="str">
        <f>"да"</f>
        <v>да</v>
      </c>
      <c r="AZ244" s="4" t="str">
        <f>"2009"</f>
        <v>2009</v>
      </c>
      <c r="BA244" s="4" t="str">
        <f>"75,00"</f>
        <v>75,00</v>
      </c>
      <c r="BB244" s="4" t="str">
        <f>"2034-2036"</f>
        <v>2034-2036</v>
      </c>
      <c r="BC244" s="4" t="str">
        <f>"нет"</f>
        <v>нет</v>
      </c>
      <c r="BD244" s="4" t="str">
        <f>""</f>
        <v/>
      </c>
      <c r="BE244" s="4" t="str">
        <f>""</f>
        <v/>
      </c>
      <c r="BF244" s="4" t="str">
        <f>""</f>
        <v/>
      </c>
      <c r="BG244" s="4" t="str">
        <f>"1990"</f>
        <v>1990</v>
      </c>
      <c r="BH244" s="4" t="str">
        <f>"35,00"</f>
        <v>35,00</v>
      </c>
      <c r="BI244" s="4" t="str">
        <f>"2034-2036"</f>
        <v>2034-2036</v>
      </c>
      <c r="BJ244" s="4" t="str">
        <f t="shared" si="267"/>
        <v>нет</v>
      </c>
      <c r="BK244" s="4" t="str">
        <f>""</f>
        <v/>
      </c>
      <c r="BL244" s="4" t="str">
        <f>""</f>
        <v/>
      </c>
      <c r="BM244" s="4" t="str">
        <f>""</f>
        <v/>
      </c>
      <c r="BN244" s="4" t="str">
        <f t="shared" si="268"/>
        <v>нет</v>
      </c>
      <c r="BO244" s="4" t="str">
        <f>""</f>
        <v/>
      </c>
      <c r="BP244" s="4" t="str">
        <f>""</f>
        <v/>
      </c>
      <c r="BQ244" s="4" t="str">
        <f>""</f>
        <v/>
      </c>
      <c r="BR244" s="4" t="str">
        <f>"1990"</f>
        <v>1990</v>
      </c>
      <c r="BS244" s="4" t="str">
        <f>"15,00"</f>
        <v>15,00</v>
      </c>
      <c r="BT244" s="4" t="str">
        <f>"2034-2036"</f>
        <v>2034-2036</v>
      </c>
      <c r="BU244" s="4" t="str">
        <f t="shared" si="237"/>
        <v>нет</v>
      </c>
      <c r="BV244" s="4" t="str">
        <f t="shared" si="264"/>
        <v>x</v>
      </c>
      <c r="BW244" s="4" t="str">
        <f t="shared" si="264"/>
        <v>x</v>
      </c>
      <c r="BX244" s="4" t="str">
        <f t="shared" si="264"/>
        <v>x</v>
      </c>
      <c r="BY244" s="4" t="str">
        <f t="shared" si="266"/>
        <v>нет</v>
      </c>
      <c r="BZ244" s="4" t="str">
        <f t="shared" si="270"/>
        <v>x</v>
      </c>
      <c r="CA244" s="4" t="str">
        <f t="shared" si="270"/>
        <v>x</v>
      </c>
      <c r="CB244" s="4" t="str">
        <f t="shared" si="270"/>
        <v>x</v>
      </c>
      <c r="CC244" s="4" t="str">
        <f>"1990"</f>
        <v>1990</v>
      </c>
      <c r="CD244" s="4" t="str">
        <f>"20,00"</f>
        <v>20,00</v>
      </c>
      <c r="CE244" s="4" t="str">
        <f>"2034-2036"</f>
        <v>2034-2036</v>
      </c>
      <c r="CF244" s="4" t="str">
        <f>"1990"</f>
        <v>1990</v>
      </c>
      <c r="CG244" s="4" t="str">
        <f>"20,00"</f>
        <v>20,00</v>
      </c>
      <c r="CH244" s="4" t="str">
        <f>"2034-2036"</f>
        <v>2034-2036</v>
      </c>
      <c r="CI244" s="4" t="str">
        <f>"25,00"</f>
        <v>25,00</v>
      </c>
      <c r="CJ244" s="4" t="str">
        <f>"2034-2036"</f>
        <v>2034-2036</v>
      </c>
    </row>
    <row r="245" spans="1:88" ht="11.25" customHeight="1">
      <c r="A245" s="45" t="str">
        <f>"24.232"</f>
        <v>24.232</v>
      </c>
      <c r="B245" s="46" t="str">
        <f>"г. Харовск, ул.Энергетиков, д.7А"</f>
        <v>г. Харовск, ул.Энергетиков, д.7А</v>
      </c>
      <c r="C245" s="6" t="str">
        <f>"1977"</f>
        <v>1977</v>
      </c>
      <c r="D245" s="4" t="str">
        <f>"1977"</f>
        <v>1977</v>
      </c>
      <c r="E245" s="4" t="str">
        <f>"30,00"</f>
        <v>30,00</v>
      </c>
      <c r="F245" s="4" t="str">
        <f>"2027-2029"</f>
        <v>2027-2029</v>
      </c>
      <c r="G245" s="4" t="str">
        <f t="shared" si="251"/>
        <v>нет</v>
      </c>
      <c r="H245" s="4" t="str">
        <f>""</f>
        <v/>
      </c>
      <c r="I245" s="4" t="str">
        <f>""</f>
        <v/>
      </c>
      <c r="J245" s="4" t="str">
        <f>""</f>
        <v/>
      </c>
      <c r="K245" s="4" t="str">
        <f t="shared" si="235"/>
        <v>нет</v>
      </c>
      <c r="L245" s="4" t="str">
        <f>""</f>
        <v/>
      </c>
      <c r="M245" s="4" t="str">
        <f>""</f>
        <v/>
      </c>
      <c r="N245" s="4" t="str">
        <f>""</f>
        <v/>
      </c>
      <c r="O245" s="7" t="str">
        <f>"1977"</f>
        <v>1977</v>
      </c>
      <c r="P245" s="4" t="str">
        <f>"30,00"</f>
        <v>30,00</v>
      </c>
      <c r="Q245" s="4" t="str">
        <f>"2027-2029"</f>
        <v>2027-2029</v>
      </c>
      <c r="R245" s="4" t="str">
        <f>"да"</f>
        <v>да</v>
      </c>
      <c r="S245" s="4" t="str">
        <f>"2010"</f>
        <v>2010</v>
      </c>
      <c r="T245" s="4" t="str">
        <f>"75,00"</f>
        <v>75,00</v>
      </c>
      <c r="U245" s="4" t="str">
        <f>"2027-2029"</f>
        <v>2027-2029</v>
      </c>
      <c r="V245" s="4" t="str">
        <f t="shared" si="253"/>
        <v>нет</v>
      </c>
      <c r="W245" s="4" t="str">
        <f>""</f>
        <v/>
      </c>
      <c r="X245" s="4" t="str">
        <f>""</f>
        <v/>
      </c>
      <c r="Y245" s="8" t="str">
        <f>""</f>
        <v/>
      </c>
      <c r="Z245" s="4" t="str">
        <f>""</f>
        <v/>
      </c>
      <c r="AA245" s="4" t="str">
        <f>""</f>
        <v/>
      </c>
      <c r="AB245" s="4" t="str">
        <f>""</f>
        <v/>
      </c>
      <c r="AC245" s="4" t="str">
        <f>""</f>
        <v/>
      </c>
      <c r="AD245" s="4" t="str">
        <f>""</f>
        <v/>
      </c>
      <c r="AE245" s="4" t="str">
        <f>""</f>
        <v/>
      </c>
      <c r="AF245" s="4" t="str">
        <f>""</f>
        <v/>
      </c>
      <c r="AG245" s="4" t="str">
        <f>""</f>
        <v/>
      </c>
      <c r="AH245" s="4" t="str">
        <f>""</f>
        <v/>
      </c>
      <c r="AI245" s="4" t="str">
        <f>""</f>
        <v/>
      </c>
      <c r="AJ245" s="4" t="str">
        <f>""</f>
        <v/>
      </c>
      <c r="AK245" s="7" t="str">
        <f>"1977"</f>
        <v>1977</v>
      </c>
      <c r="AL245" s="4" t="str">
        <f>"30,00"</f>
        <v>30,00</v>
      </c>
      <c r="AM245" s="4" t="str">
        <f>"2027-2029"</f>
        <v>2027-2029</v>
      </c>
      <c r="AN245" s="4" t="str">
        <f t="shared" si="271"/>
        <v>да</v>
      </c>
      <c r="AO245" s="4" t="str">
        <f>"2013"</f>
        <v>2013</v>
      </c>
      <c r="AP245" s="4" t="str">
        <f>"0,00"</f>
        <v>0,00</v>
      </c>
      <c r="AQ245" s="4" t="str">
        <f>"2027-2029"</f>
        <v>2027-2029</v>
      </c>
      <c r="AR245" s="4" t="str">
        <f t="shared" si="254"/>
        <v>нет</v>
      </c>
      <c r="AS245" s="4" t="str">
        <f>""</f>
        <v/>
      </c>
      <c r="AT245" s="4" t="str">
        <f>""</f>
        <v/>
      </c>
      <c r="AU245" s="4" t="str">
        <f>""</f>
        <v/>
      </c>
      <c r="AV245" s="4" t="str">
        <f t="shared" ref="AV245:BF247" si="274">"х"</f>
        <v>х</v>
      </c>
      <c r="AW245" s="4" t="str">
        <f t="shared" si="274"/>
        <v>х</v>
      </c>
      <c r="AX245" s="4" t="str">
        <f t="shared" si="274"/>
        <v>х</v>
      </c>
      <c r="AY245" s="4" t="str">
        <f t="shared" si="274"/>
        <v>х</v>
      </c>
      <c r="AZ245" s="4" t="str">
        <f t="shared" si="274"/>
        <v>х</v>
      </c>
      <c r="BA245" s="4" t="str">
        <f t="shared" si="274"/>
        <v>х</v>
      </c>
      <c r="BB245" s="4" t="str">
        <f t="shared" si="274"/>
        <v>х</v>
      </c>
      <c r="BC245" s="4" t="str">
        <f t="shared" si="274"/>
        <v>х</v>
      </c>
      <c r="BD245" s="4" t="str">
        <f t="shared" si="274"/>
        <v>х</v>
      </c>
      <c r="BE245" s="4" t="str">
        <f t="shared" si="274"/>
        <v>х</v>
      </c>
      <c r="BF245" s="4" t="str">
        <f t="shared" si="274"/>
        <v>х</v>
      </c>
      <c r="BG245" s="4" t="str">
        <f>"1977"</f>
        <v>1977</v>
      </c>
      <c r="BH245" s="4" t="str">
        <f>"30,00"</f>
        <v>30,00</v>
      </c>
      <c r="BI245" s="4" t="str">
        <f>"2027-2029"</f>
        <v>2027-2029</v>
      </c>
      <c r="BJ245" s="4" t="str">
        <f t="shared" si="267"/>
        <v>нет</v>
      </c>
      <c r="BK245" s="4" t="str">
        <f>""</f>
        <v/>
      </c>
      <c r="BL245" s="4" t="str">
        <f>""</f>
        <v/>
      </c>
      <c r="BM245" s="4" t="str">
        <f>""</f>
        <v/>
      </c>
      <c r="BN245" s="4" t="str">
        <f t="shared" si="268"/>
        <v>нет</v>
      </c>
      <c r="BO245" s="4" t="str">
        <f>""</f>
        <v/>
      </c>
      <c r="BP245" s="4" t="str">
        <f>""</f>
        <v/>
      </c>
      <c r="BQ245" s="4" t="str">
        <f>""</f>
        <v/>
      </c>
      <c r="BR245" s="4" t="str">
        <f>"1977"</f>
        <v>1977</v>
      </c>
      <c r="BS245" s="4" t="str">
        <f>"45,00"</f>
        <v>45,00</v>
      </c>
      <c r="BT245" s="4" t="str">
        <f>"2027-2029"</f>
        <v>2027-2029</v>
      </c>
      <c r="BU245" s="4" t="str">
        <f t="shared" si="237"/>
        <v>нет</v>
      </c>
      <c r="BV245" s="4" t="str">
        <f t="shared" si="264"/>
        <v>x</v>
      </c>
      <c r="BW245" s="4" t="str">
        <f t="shared" si="264"/>
        <v>x</v>
      </c>
      <c r="BX245" s="4" t="str">
        <f t="shared" si="264"/>
        <v>x</v>
      </c>
      <c r="BY245" s="4" t="str">
        <f t="shared" si="266"/>
        <v>нет</v>
      </c>
      <c r="BZ245" s="4" t="str">
        <f t="shared" si="270"/>
        <v>x</v>
      </c>
      <c r="CA245" s="4" t="str">
        <f t="shared" si="270"/>
        <v>x</v>
      </c>
      <c r="CB245" s="4" t="str">
        <f t="shared" si="270"/>
        <v>x</v>
      </c>
      <c r="CC245" s="4" t="str">
        <f>"1977"</f>
        <v>1977</v>
      </c>
      <c r="CD245" s="4" t="str">
        <f>"30,00"</f>
        <v>30,00</v>
      </c>
      <c r="CE245" s="4" t="str">
        <f>"2027-2029"</f>
        <v>2027-2029</v>
      </c>
      <c r="CF245" s="4" t="str">
        <f>"1977"</f>
        <v>1977</v>
      </c>
      <c r="CG245" s="4" t="str">
        <f>"30,00"</f>
        <v>30,00</v>
      </c>
      <c r="CH245" s="4" t="str">
        <f>"2027-2029"</f>
        <v>2027-2029</v>
      </c>
      <c r="CI245" s="4" t="str">
        <f>"31,00"</f>
        <v>31,00</v>
      </c>
      <c r="CJ245" s="4" t="str">
        <f>"2027-2029"</f>
        <v>2027-2029</v>
      </c>
    </row>
    <row r="246" spans="1:88" ht="11.25" customHeight="1">
      <c r="A246" s="45" t="str">
        <f>"24.233"</f>
        <v>24.233</v>
      </c>
      <c r="B246" s="46" t="str">
        <f>"г. Харовск, ул.Энергетиков, д.8"</f>
        <v>г. Харовск, ул.Энергетиков, д.8</v>
      </c>
      <c r="C246" s="6" t="str">
        <f>"1964"</f>
        <v>1964</v>
      </c>
      <c r="D246" s="4" t="str">
        <f>"1964"</f>
        <v>1964</v>
      </c>
      <c r="E246" s="4" t="str">
        <f>"50,00"</f>
        <v>50,00</v>
      </c>
      <c r="F246" s="4" t="str">
        <f>"2038-2040"</f>
        <v>2038-2040</v>
      </c>
      <c r="G246" s="4" t="str">
        <f t="shared" si="251"/>
        <v>нет</v>
      </c>
      <c r="H246" s="4" t="str">
        <f>""</f>
        <v/>
      </c>
      <c r="I246" s="4" t="str">
        <f>""</f>
        <v/>
      </c>
      <c r="J246" s="4" t="str">
        <f>""</f>
        <v/>
      </c>
      <c r="K246" s="4" t="str">
        <f t="shared" si="235"/>
        <v>нет</v>
      </c>
      <c r="L246" s="4" t="str">
        <f>""</f>
        <v/>
      </c>
      <c r="M246" s="4" t="str">
        <f>""</f>
        <v/>
      </c>
      <c r="N246" s="4" t="str">
        <f>""</f>
        <v/>
      </c>
      <c r="O246" s="7" t="str">
        <f>"2010"</f>
        <v>2010</v>
      </c>
      <c r="P246" s="4" t="str">
        <f>"0,00"</f>
        <v>0,00</v>
      </c>
      <c r="Q246" s="4" t="str">
        <f>"2038-2040"</f>
        <v>2038-2040</v>
      </c>
      <c r="R246" s="4" t="str">
        <f>"да"</f>
        <v>да</v>
      </c>
      <c r="S246" s="4" t="str">
        <f>"2010"</f>
        <v>2010</v>
      </c>
      <c r="T246" s="4" t="str">
        <f>"75,00"</f>
        <v>75,00</v>
      </c>
      <c r="U246" s="4" t="str">
        <f>"2038-2040"</f>
        <v>2038-2040</v>
      </c>
      <c r="V246" s="4" t="str">
        <f t="shared" si="253"/>
        <v>нет</v>
      </c>
      <c r="W246" s="4" t="str">
        <f>""</f>
        <v/>
      </c>
      <c r="X246" s="4" t="str">
        <f>""</f>
        <v/>
      </c>
      <c r="Y246" s="8" t="str">
        <f>""</f>
        <v/>
      </c>
      <c r="Z246" s="4" t="str">
        <f>""</f>
        <v/>
      </c>
      <c r="AA246" s="4" t="str">
        <f>""</f>
        <v/>
      </c>
      <c r="AB246" s="4" t="str">
        <f>""</f>
        <v/>
      </c>
      <c r="AC246" s="4" t="str">
        <f>""</f>
        <v/>
      </c>
      <c r="AD246" s="4" t="str">
        <f>""</f>
        <v/>
      </c>
      <c r="AE246" s="4" t="str">
        <f>""</f>
        <v/>
      </c>
      <c r="AF246" s="4" t="str">
        <f>""</f>
        <v/>
      </c>
      <c r="AG246" s="4" t="str">
        <f>""</f>
        <v/>
      </c>
      <c r="AH246" s="4" t="str">
        <f>""</f>
        <v/>
      </c>
      <c r="AI246" s="4" t="str">
        <f>""</f>
        <v/>
      </c>
      <c r="AJ246" s="4" t="str">
        <f>""</f>
        <v/>
      </c>
      <c r="AK246" s="7" t="str">
        <f>"2010"</f>
        <v>2010</v>
      </c>
      <c r="AL246" s="4" t="str">
        <f>"0,00"</f>
        <v>0,00</v>
      </c>
      <c r="AM246" s="4" t="str">
        <f>"2038-2040"</f>
        <v>2038-2040</v>
      </c>
      <c r="AN246" s="4" t="str">
        <f t="shared" si="271"/>
        <v>да</v>
      </c>
      <c r="AO246" s="4" t="str">
        <f>"2010"</f>
        <v>2010</v>
      </c>
      <c r="AP246" s="4" t="str">
        <f>"50,00"</f>
        <v>50,00</v>
      </c>
      <c r="AQ246" s="4" t="str">
        <f>"2038-2040"</f>
        <v>2038-2040</v>
      </c>
      <c r="AR246" s="4" t="str">
        <f t="shared" si="254"/>
        <v>нет</v>
      </c>
      <c r="AS246" s="4" t="str">
        <f>""</f>
        <v/>
      </c>
      <c r="AT246" s="4" t="str">
        <f>""</f>
        <v/>
      </c>
      <c r="AU246" s="4" t="str">
        <f>""</f>
        <v/>
      </c>
      <c r="AV246" s="4" t="str">
        <f t="shared" si="274"/>
        <v>х</v>
      </c>
      <c r="AW246" s="4" t="str">
        <f t="shared" si="274"/>
        <v>х</v>
      </c>
      <c r="AX246" s="4" t="str">
        <f t="shared" si="274"/>
        <v>х</v>
      </c>
      <c r="AY246" s="4" t="str">
        <f t="shared" si="274"/>
        <v>х</v>
      </c>
      <c r="AZ246" s="4" t="str">
        <f t="shared" si="274"/>
        <v>х</v>
      </c>
      <c r="BA246" s="4" t="str">
        <f t="shared" si="274"/>
        <v>х</v>
      </c>
      <c r="BB246" s="4" t="str">
        <f t="shared" si="274"/>
        <v>х</v>
      </c>
      <c r="BC246" s="4" t="str">
        <f t="shared" si="274"/>
        <v>х</v>
      </c>
      <c r="BD246" s="4" t="str">
        <f t="shared" si="274"/>
        <v>х</v>
      </c>
      <c r="BE246" s="4" t="str">
        <f t="shared" si="274"/>
        <v>х</v>
      </c>
      <c r="BF246" s="4" t="str">
        <f t="shared" si="274"/>
        <v>х</v>
      </c>
      <c r="BG246" s="4" t="str">
        <f>"2010"</f>
        <v>2010</v>
      </c>
      <c r="BH246" s="4" t="str">
        <f>"50,00"</f>
        <v>50,00</v>
      </c>
      <c r="BI246" s="4" t="str">
        <f>"2038-2040"</f>
        <v>2038-2040</v>
      </c>
      <c r="BJ246" s="4" t="str">
        <f t="shared" si="267"/>
        <v>нет</v>
      </c>
      <c r="BK246" s="4" t="str">
        <f>""</f>
        <v/>
      </c>
      <c r="BL246" s="4" t="str">
        <f>""</f>
        <v/>
      </c>
      <c r="BM246" s="4" t="str">
        <f>""</f>
        <v/>
      </c>
      <c r="BN246" s="4" t="str">
        <f t="shared" si="268"/>
        <v>нет</v>
      </c>
      <c r="BO246" s="4" t="str">
        <f>""</f>
        <v/>
      </c>
      <c r="BP246" s="4" t="str">
        <f>""</f>
        <v/>
      </c>
      <c r="BQ246" s="4" t="str">
        <f>""</f>
        <v/>
      </c>
      <c r="BR246" s="4" t="str">
        <f>"2010"</f>
        <v>2010</v>
      </c>
      <c r="BS246" s="4" t="str">
        <f>"50,00"</f>
        <v>50,00</v>
      </c>
      <c r="BT246" s="4" t="str">
        <f>"2038-2040"</f>
        <v>2038-2040</v>
      </c>
      <c r="BU246" s="4" t="str">
        <f t="shared" si="237"/>
        <v>нет</v>
      </c>
      <c r="BV246" s="4" t="str">
        <f t="shared" si="264"/>
        <v>x</v>
      </c>
      <c r="BW246" s="4" t="str">
        <f t="shared" si="264"/>
        <v>x</v>
      </c>
      <c r="BX246" s="4" t="str">
        <f t="shared" si="264"/>
        <v>x</v>
      </c>
      <c r="BY246" s="4" t="str">
        <f t="shared" si="266"/>
        <v>нет</v>
      </c>
      <c r="BZ246" s="4" t="str">
        <f t="shared" si="270"/>
        <v>x</v>
      </c>
      <c r="CA246" s="4" t="str">
        <f t="shared" si="270"/>
        <v>x</v>
      </c>
      <c r="CB246" s="4" t="str">
        <f t="shared" si="270"/>
        <v>x</v>
      </c>
      <c r="CC246" s="4" t="str">
        <f>"2010"</f>
        <v>2010</v>
      </c>
      <c r="CD246" s="4" t="str">
        <f>"45,00"</f>
        <v>45,00</v>
      </c>
      <c r="CE246" s="4" t="str">
        <f>"2038-2040"</f>
        <v>2038-2040</v>
      </c>
      <c r="CF246" s="4" t="str">
        <f>"1964"</f>
        <v>1964</v>
      </c>
      <c r="CG246" s="4" t="str">
        <f>"55,00"</f>
        <v>55,00</v>
      </c>
      <c r="CH246" s="4" t="str">
        <f>"2038-2040"</f>
        <v>2038-2040</v>
      </c>
      <c r="CI246" s="4" t="str">
        <f>"49,00"</f>
        <v>49,00</v>
      </c>
      <c r="CJ246" s="4" t="str">
        <f>"2038-2040"</f>
        <v>2038-2040</v>
      </c>
    </row>
    <row r="247" spans="1:88" ht="11.25" customHeight="1">
      <c r="A247" s="45" t="str">
        <f>"24.234"</f>
        <v>24.234</v>
      </c>
      <c r="B247" s="46" t="str">
        <f>"г. Харовск, ул.Энергетиков, д.9Б"</f>
        <v>г. Харовск, ул.Энергетиков, д.9Б</v>
      </c>
      <c r="C247" s="6" t="str">
        <f>"1975"</f>
        <v>1975</v>
      </c>
      <c r="D247" s="4" t="str">
        <f>"1975"</f>
        <v>1975</v>
      </c>
      <c r="E247" s="4" t="str">
        <f>"40,00"</f>
        <v>40,00</v>
      </c>
      <c r="F247" s="4" t="str">
        <f>"2026-2028"</f>
        <v>2026-2028</v>
      </c>
      <c r="G247" s="4" t="str">
        <f>"да"</f>
        <v>да</v>
      </c>
      <c r="H247" s="4" t="str">
        <f>"2013"</f>
        <v>2013</v>
      </c>
      <c r="I247" s="4" t="str">
        <f>"0,00"</f>
        <v>0,00</v>
      </c>
      <c r="J247" s="4" t="str">
        <f>"2026-2028"</f>
        <v>2026-2028</v>
      </c>
      <c r="K247" s="4" t="str">
        <f t="shared" si="235"/>
        <v>нет</v>
      </c>
      <c r="L247" s="4" t="str">
        <f>""</f>
        <v/>
      </c>
      <c r="M247" s="4" t="str">
        <f>""</f>
        <v/>
      </c>
      <c r="N247" s="4" t="str">
        <f>""</f>
        <v/>
      </c>
      <c r="O247" s="7" t="str">
        <f>"1975"</f>
        <v>1975</v>
      </c>
      <c r="P247" s="4" t="str">
        <f>"40,00"</f>
        <v>40,00</v>
      </c>
      <c r="Q247" s="4" t="str">
        <f>"2026-2028"</f>
        <v>2026-2028</v>
      </c>
      <c r="R247" s="4" t="str">
        <f>"нет"</f>
        <v>нет</v>
      </c>
      <c r="S247" s="4" t="str">
        <f>""</f>
        <v/>
      </c>
      <c r="T247" s="4" t="str">
        <f>""</f>
        <v/>
      </c>
      <c r="U247" s="4" t="str">
        <f>""</f>
        <v/>
      </c>
      <c r="V247" s="4" t="str">
        <f t="shared" si="253"/>
        <v>нет</v>
      </c>
      <c r="W247" s="4" t="str">
        <f>""</f>
        <v/>
      </c>
      <c r="X247" s="4" t="str">
        <f>""</f>
        <v/>
      </c>
      <c r="Y247" s="8" t="str">
        <f>""</f>
        <v/>
      </c>
      <c r="Z247" s="4" t="str">
        <f t="shared" ref="Z247:AJ256" si="275">"х"</f>
        <v>х</v>
      </c>
      <c r="AA247" s="4" t="str">
        <f t="shared" si="275"/>
        <v>х</v>
      </c>
      <c r="AB247" s="4" t="str">
        <f t="shared" si="275"/>
        <v>х</v>
      </c>
      <c r="AC247" s="4" t="str">
        <f t="shared" si="275"/>
        <v>х</v>
      </c>
      <c r="AD247" s="4" t="str">
        <f t="shared" si="275"/>
        <v>х</v>
      </c>
      <c r="AE247" s="4" t="str">
        <f t="shared" si="275"/>
        <v>х</v>
      </c>
      <c r="AF247" s="4" t="str">
        <f t="shared" si="275"/>
        <v>х</v>
      </c>
      <c r="AG247" s="4" t="str">
        <f t="shared" si="275"/>
        <v>х</v>
      </c>
      <c r="AH247" s="4" t="str">
        <f t="shared" si="275"/>
        <v>х</v>
      </c>
      <c r="AI247" s="4" t="str">
        <f t="shared" si="275"/>
        <v>х</v>
      </c>
      <c r="AJ247" s="4" t="str">
        <f t="shared" si="275"/>
        <v>х</v>
      </c>
      <c r="AK247" s="7" t="str">
        <f>"1975"</f>
        <v>1975</v>
      </c>
      <c r="AL247" s="4" t="str">
        <f>"40,00"</f>
        <v>40,00</v>
      </c>
      <c r="AM247" s="4" t="str">
        <f>"2026-2028"</f>
        <v>2026-2028</v>
      </c>
      <c r="AN247" s="4" t="str">
        <f t="shared" si="271"/>
        <v>да</v>
      </c>
      <c r="AO247" s="4" t="str">
        <f>"2013"</f>
        <v>2013</v>
      </c>
      <c r="AP247" s="4" t="str">
        <f>"0,00"</f>
        <v>0,00</v>
      </c>
      <c r="AQ247" s="4" t="str">
        <f>"2026-2028"</f>
        <v>2026-2028</v>
      </c>
      <c r="AR247" s="4" t="str">
        <f t="shared" si="254"/>
        <v>нет</v>
      </c>
      <c r="AS247" s="4" t="str">
        <f>""</f>
        <v/>
      </c>
      <c r="AT247" s="4" t="str">
        <f>""</f>
        <v/>
      </c>
      <c r="AU247" s="4" t="str">
        <f>""</f>
        <v/>
      </c>
      <c r="AV247" s="4" t="str">
        <f t="shared" si="274"/>
        <v>х</v>
      </c>
      <c r="AW247" s="4" t="str">
        <f t="shared" si="274"/>
        <v>х</v>
      </c>
      <c r="AX247" s="4" t="str">
        <f t="shared" si="274"/>
        <v>х</v>
      </c>
      <c r="AY247" s="4" t="str">
        <f t="shared" si="274"/>
        <v>х</v>
      </c>
      <c r="AZ247" s="4" t="str">
        <f t="shared" si="274"/>
        <v>х</v>
      </c>
      <c r="BA247" s="4" t="str">
        <f t="shared" si="274"/>
        <v>х</v>
      </c>
      <c r="BB247" s="4" t="str">
        <f t="shared" si="274"/>
        <v>х</v>
      </c>
      <c r="BC247" s="4" t="str">
        <f t="shared" si="274"/>
        <v>х</v>
      </c>
      <c r="BD247" s="4" t="str">
        <f t="shared" si="274"/>
        <v>х</v>
      </c>
      <c r="BE247" s="4" t="str">
        <f t="shared" si="274"/>
        <v>х</v>
      </c>
      <c r="BF247" s="4" t="str">
        <f t="shared" si="274"/>
        <v>х</v>
      </c>
      <c r="BG247" s="4" t="str">
        <f>"1975"</f>
        <v>1975</v>
      </c>
      <c r="BH247" s="4" t="str">
        <f>"40,00"</f>
        <v>40,00</v>
      </c>
      <c r="BI247" s="4" t="str">
        <f>"2026-2028"</f>
        <v>2026-2028</v>
      </c>
      <c r="BJ247" s="4" t="str">
        <f t="shared" si="267"/>
        <v>нет</v>
      </c>
      <c r="BK247" s="4" t="str">
        <f>""</f>
        <v/>
      </c>
      <c r="BL247" s="4" t="str">
        <f>""</f>
        <v/>
      </c>
      <c r="BM247" s="4" t="str">
        <f>""</f>
        <v/>
      </c>
      <c r="BN247" s="4" t="str">
        <f t="shared" si="268"/>
        <v>нет</v>
      </c>
      <c r="BO247" s="4" t="str">
        <f>""</f>
        <v/>
      </c>
      <c r="BP247" s="4" t="str">
        <f>""</f>
        <v/>
      </c>
      <c r="BQ247" s="4" t="str">
        <f>""</f>
        <v/>
      </c>
      <c r="BR247" s="4" t="str">
        <f>"1975"</f>
        <v>1975</v>
      </c>
      <c r="BS247" s="4" t="str">
        <f>"35,00"</f>
        <v>35,00</v>
      </c>
      <c r="BT247" s="4" t="str">
        <f>"2026-2028"</f>
        <v>2026-2028</v>
      </c>
      <c r="BU247" s="4" t="str">
        <f t="shared" si="237"/>
        <v>нет</v>
      </c>
      <c r="BV247" s="4" t="str">
        <f t="shared" si="264"/>
        <v>x</v>
      </c>
      <c r="BW247" s="4" t="str">
        <f t="shared" si="264"/>
        <v>x</v>
      </c>
      <c r="BX247" s="4" t="str">
        <f t="shared" si="264"/>
        <v>x</v>
      </c>
      <c r="BY247" s="4" t="str">
        <f t="shared" si="266"/>
        <v>нет</v>
      </c>
      <c r="BZ247" s="4" t="str">
        <f t="shared" si="270"/>
        <v>x</v>
      </c>
      <c r="CA247" s="4" t="str">
        <f t="shared" si="270"/>
        <v>x</v>
      </c>
      <c r="CB247" s="4" t="str">
        <f t="shared" si="270"/>
        <v>x</v>
      </c>
      <c r="CC247" s="4" t="str">
        <f>"1975"</f>
        <v>1975</v>
      </c>
      <c r="CD247" s="4" t="str">
        <f>"35,00"</f>
        <v>35,00</v>
      </c>
      <c r="CE247" s="4" t="str">
        <f>"2026-2028"</f>
        <v>2026-2028</v>
      </c>
      <c r="CF247" s="4" t="str">
        <f>"1975"</f>
        <v>1975</v>
      </c>
      <c r="CG247" s="4" t="str">
        <f>"30,00"</f>
        <v>30,00</v>
      </c>
      <c r="CH247" s="4" t="str">
        <f>"2026-2028"</f>
        <v>2026-2028</v>
      </c>
      <c r="CI247" s="4" t="str">
        <f>"31,00"</f>
        <v>31,00</v>
      </c>
      <c r="CJ247" s="4" t="str">
        <f>"2026-2028"</f>
        <v>2026-2028</v>
      </c>
    </row>
    <row r="248" spans="1:88" ht="11.25" customHeight="1">
      <c r="A248" s="45" t="str">
        <f>"24.235"</f>
        <v>24.235</v>
      </c>
      <c r="B248" s="46" t="str">
        <f>"г. Харовск, ул.Южная, д.20"</f>
        <v>г. Харовск, ул.Южная, д.20</v>
      </c>
      <c r="C248" s="6" t="str">
        <f>"1992"</f>
        <v>1992</v>
      </c>
      <c r="D248" s="4" t="str">
        <f>"1992"</f>
        <v>1992</v>
      </c>
      <c r="E248" s="4" t="str">
        <f>"20,00"</f>
        <v>20,00</v>
      </c>
      <c r="F248" s="4" t="str">
        <f>"2035-2037"</f>
        <v>2035-2037</v>
      </c>
      <c r="G248" s="4" t="str">
        <f>"нет"</f>
        <v>нет</v>
      </c>
      <c r="H248" s="4" t="str">
        <f>""</f>
        <v/>
      </c>
      <c r="I248" s="4" t="str">
        <f>""</f>
        <v/>
      </c>
      <c r="J248" s="4" t="str">
        <f>""</f>
        <v/>
      </c>
      <c r="K248" s="4" t="str">
        <f t="shared" si="235"/>
        <v>нет</v>
      </c>
      <c r="L248" s="4" t="str">
        <f>""</f>
        <v/>
      </c>
      <c r="M248" s="4" t="str">
        <f>""</f>
        <v/>
      </c>
      <c r="N248" s="4" t="str">
        <f>""</f>
        <v/>
      </c>
      <c r="O248" s="7" t="str">
        <f>"1992"</f>
        <v>1992</v>
      </c>
      <c r="P248" s="4" t="str">
        <f>"20,00"</f>
        <v>20,00</v>
      </c>
      <c r="Q248" s="4" t="str">
        <f>"2035-2037"</f>
        <v>2035-2037</v>
      </c>
      <c r="R248" s="4" t="str">
        <f>"да"</f>
        <v>да</v>
      </c>
      <c r="S248" s="4" t="str">
        <f>"2010"</f>
        <v>2010</v>
      </c>
      <c r="T248" s="4" t="str">
        <f>"75,00"</f>
        <v>75,00</v>
      </c>
      <c r="U248" s="4" t="str">
        <f>"2035-2037"</f>
        <v>2035-2037</v>
      </c>
      <c r="V248" s="4" t="str">
        <f t="shared" si="253"/>
        <v>нет</v>
      </c>
      <c r="W248" s="4" t="str">
        <f>"х"</f>
        <v>х</v>
      </c>
      <c r="X248" s="4" t="str">
        <f>"х"</f>
        <v>х</v>
      </c>
      <c r="Y248" s="8" t="str">
        <f>"х"</f>
        <v>х</v>
      </c>
      <c r="Z248" s="4" t="str">
        <f t="shared" si="275"/>
        <v>х</v>
      </c>
      <c r="AA248" s="4" t="str">
        <f t="shared" si="275"/>
        <v>х</v>
      </c>
      <c r="AB248" s="4" t="str">
        <f t="shared" si="275"/>
        <v>х</v>
      </c>
      <c r="AC248" s="4" t="str">
        <f t="shared" si="275"/>
        <v>х</v>
      </c>
      <c r="AD248" s="4" t="str">
        <f t="shared" si="275"/>
        <v>х</v>
      </c>
      <c r="AE248" s="4" t="str">
        <f t="shared" si="275"/>
        <v>х</v>
      </c>
      <c r="AF248" s="4" t="str">
        <f t="shared" si="275"/>
        <v>х</v>
      </c>
      <c r="AG248" s="4" t="str">
        <f t="shared" si="275"/>
        <v>х</v>
      </c>
      <c r="AH248" s="4" t="str">
        <f t="shared" si="275"/>
        <v>х</v>
      </c>
      <c r="AI248" s="4" t="str">
        <f t="shared" si="275"/>
        <v>х</v>
      </c>
      <c r="AJ248" s="4" t="str">
        <f t="shared" si="275"/>
        <v>х</v>
      </c>
      <c r="AK248" s="7" t="str">
        <f>"1992"</f>
        <v>1992</v>
      </c>
      <c r="AL248" s="4" t="str">
        <f>"20,00"</f>
        <v>20,00</v>
      </c>
      <c r="AM248" s="4" t="str">
        <f>"2035-2037"</f>
        <v>2035-2037</v>
      </c>
      <c r="AN248" s="4" t="str">
        <f t="shared" si="271"/>
        <v>да</v>
      </c>
      <c r="AO248" s="4" t="str">
        <f>"2013"</f>
        <v>2013</v>
      </c>
      <c r="AP248" s="4" t="str">
        <f>"0,00"</f>
        <v>0,00</v>
      </c>
      <c r="AQ248" s="4" t="str">
        <f>"2035-2037"</f>
        <v>2035-2037</v>
      </c>
      <c r="AR248" s="4" t="str">
        <f t="shared" si="254"/>
        <v>нет</v>
      </c>
      <c r="AS248" s="4" t="str">
        <f>""</f>
        <v/>
      </c>
      <c r="AT248" s="4" t="str">
        <f>""</f>
        <v/>
      </c>
      <c r="AU248" s="4" t="str">
        <f>""</f>
        <v/>
      </c>
      <c r="AV248" s="4" t="str">
        <f>""</f>
        <v/>
      </c>
      <c r="AW248" s="4" t="str">
        <f>""</f>
        <v/>
      </c>
      <c r="AX248" s="4" t="str">
        <f>""</f>
        <v/>
      </c>
      <c r="AY248" s="4" t="str">
        <f>""</f>
        <v/>
      </c>
      <c r="AZ248" s="4" t="str">
        <f>""</f>
        <v/>
      </c>
      <c r="BA248" s="4" t="str">
        <f>""</f>
        <v/>
      </c>
      <c r="BB248" s="4" t="str">
        <f>""</f>
        <v/>
      </c>
      <c r="BC248" s="4" t="str">
        <f>""</f>
        <v/>
      </c>
      <c r="BD248" s="4" t="str">
        <f>""</f>
        <v/>
      </c>
      <c r="BE248" s="4" t="str">
        <f>""</f>
        <v/>
      </c>
      <c r="BF248" s="4" t="str">
        <f>""</f>
        <v/>
      </c>
      <c r="BG248" s="4" t="str">
        <f>"1992"</f>
        <v>1992</v>
      </c>
      <c r="BH248" s="4" t="str">
        <f>"20,00"</f>
        <v>20,00</v>
      </c>
      <c r="BI248" s="4" t="str">
        <f>"2035-2037"</f>
        <v>2035-2037</v>
      </c>
      <c r="BJ248" s="4" t="str">
        <f t="shared" si="267"/>
        <v>нет</v>
      </c>
      <c r="BK248" s="4" t="str">
        <f>""</f>
        <v/>
      </c>
      <c r="BL248" s="4" t="str">
        <f>""</f>
        <v/>
      </c>
      <c r="BM248" s="4" t="str">
        <f>""</f>
        <v/>
      </c>
      <c r="BN248" s="4" t="str">
        <f t="shared" si="268"/>
        <v>нет</v>
      </c>
      <c r="BO248" s="4" t="str">
        <f>""</f>
        <v/>
      </c>
      <c r="BP248" s="4" t="str">
        <f>""</f>
        <v/>
      </c>
      <c r="BQ248" s="4" t="str">
        <f>""</f>
        <v/>
      </c>
      <c r="BR248" s="4" t="str">
        <f>"1992"</f>
        <v>1992</v>
      </c>
      <c r="BS248" s="4" t="str">
        <f>"20,00"</f>
        <v>20,00</v>
      </c>
      <c r="BT248" s="4" t="str">
        <f>"2035-2037"</f>
        <v>2035-2037</v>
      </c>
      <c r="BU248" s="4" t="str">
        <f t="shared" si="237"/>
        <v>нет</v>
      </c>
      <c r="BV248" s="4" t="str">
        <f t="shared" si="264"/>
        <v>x</v>
      </c>
      <c r="BW248" s="4" t="str">
        <f t="shared" si="264"/>
        <v>x</v>
      </c>
      <c r="BX248" s="4" t="str">
        <f t="shared" si="264"/>
        <v>x</v>
      </c>
      <c r="BY248" s="4" t="str">
        <f t="shared" si="266"/>
        <v>нет</v>
      </c>
      <c r="BZ248" s="4" t="str">
        <f t="shared" si="270"/>
        <v>x</v>
      </c>
      <c r="CA248" s="4" t="str">
        <f t="shared" si="270"/>
        <v>x</v>
      </c>
      <c r="CB248" s="4" t="str">
        <f t="shared" si="270"/>
        <v>x</v>
      </c>
      <c r="CC248" s="4" t="str">
        <f>"1992"</f>
        <v>1992</v>
      </c>
      <c r="CD248" s="4" t="str">
        <f>"10,00"</f>
        <v>10,00</v>
      </c>
      <c r="CE248" s="4" t="str">
        <f>"2035-2037"</f>
        <v>2035-2037</v>
      </c>
      <c r="CF248" s="4" t="str">
        <f>"1992"</f>
        <v>1992</v>
      </c>
      <c r="CG248" s="4" t="str">
        <f>"15,00"</f>
        <v>15,00</v>
      </c>
      <c r="CH248" s="4" t="str">
        <f>"2035-2037"</f>
        <v>2035-2037</v>
      </c>
      <c r="CI248" s="4" t="str">
        <f>"21,00"</f>
        <v>21,00</v>
      </c>
      <c r="CJ248" s="4" t="str">
        <f>"2035-2037"</f>
        <v>2035-2037</v>
      </c>
    </row>
    <row r="249" spans="1:88" ht="11.25" customHeight="1">
      <c r="A249" s="45" t="str">
        <f>"24.236"</f>
        <v>24.236</v>
      </c>
      <c r="B249" s="46" t="str">
        <f>"д. Арзубиха, д.90"</f>
        <v>д. Арзубиха, д.90</v>
      </c>
      <c r="C249" s="6" t="str">
        <f>"1999"</f>
        <v>1999</v>
      </c>
      <c r="D249" s="4" t="str">
        <f>"1999"</f>
        <v>1999</v>
      </c>
      <c r="E249" s="4" t="str">
        <f>"10,00"</f>
        <v>10,00</v>
      </c>
      <c r="F249" s="4" t="str">
        <f>"2036-2038"</f>
        <v>2036-2038</v>
      </c>
      <c r="G249" s="4" t="str">
        <f>"да"</f>
        <v>да</v>
      </c>
      <c r="H249" s="4" t="str">
        <f>""</f>
        <v/>
      </c>
      <c r="I249" s="4" t="str">
        <f>"5,00"</f>
        <v>5,00</v>
      </c>
      <c r="J249" s="4" t="str">
        <f>"2036-2038"</f>
        <v>2036-2038</v>
      </c>
      <c r="K249" s="4" t="str">
        <f t="shared" si="235"/>
        <v>нет</v>
      </c>
      <c r="L249" s="4" t="str">
        <f>""</f>
        <v/>
      </c>
      <c r="M249" s="4" t="str">
        <f>""</f>
        <v/>
      </c>
      <c r="N249" s="4" t="str">
        <f>""</f>
        <v/>
      </c>
      <c r="O249" s="7" t="str">
        <f>"1999"</f>
        <v>1999</v>
      </c>
      <c r="P249" s="4" t="str">
        <f>"10,00"</f>
        <v>10,00</v>
      </c>
      <c r="Q249" s="4" t="str">
        <f>"2036-2038"</f>
        <v>2036-2038</v>
      </c>
      <c r="R249" s="4" t="str">
        <f>"нет"</f>
        <v>нет</v>
      </c>
      <c r="S249" s="4" t="str">
        <f>""</f>
        <v/>
      </c>
      <c r="T249" s="4" t="str">
        <f>""</f>
        <v/>
      </c>
      <c r="U249" s="4" t="str">
        <f>""</f>
        <v/>
      </c>
      <c r="V249" s="4" t="str">
        <f t="shared" si="253"/>
        <v>нет</v>
      </c>
      <c r="W249" s="4" t="str">
        <f>""</f>
        <v/>
      </c>
      <c r="X249" s="4" t="str">
        <f>""</f>
        <v/>
      </c>
      <c r="Y249" s="8" t="str">
        <f>""</f>
        <v/>
      </c>
      <c r="Z249" s="4" t="str">
        <f t="shared" si="275"/>
        <v>х</v>
      </c>
      <c r="AA249" s="4" t="str">
        <f t="shared" si="275"/>
        <v>х</v>
      </c>
      <c r="AB249" s="4" t="str">
        <f t="shared" si="275"/>
        <v>х</v>
      </c>
      <c r="AC249" s="4" t="str">
        <f t="shared" si="275"/>
        <v>х</v>
      </c>
      <c r="AD249" s="4" t="str">
        <f t="shared" si="275"/>
        <v>х</v>
      </c>
      <c r="AE249" s="4" t="str">
        <f t="shared" si="275"/>
        <v>х</v>
      </c>
      <c r="AF249" s="4" t="str">
        <f t="shared" si="275"/>
        <v>х</v>
      </c>
      <c r="AG249" s="4" t="str">
        <f t="shared" si="275"/>
        <v>х</v>
      </c>
      <c r="AH249" s="4" t="str">
        <f t="shared" si="275"/>
        <v>х</v>
      </c>
      <c r="AI249" s="4" t="str">
        <f t="shared" si="275"/>
        <v>х</v>
      </c>
      <c r="AJ249" s="4" t="str">
        <f t="shared" si="275"/>
        <v>х</v>
      </c>
      <c r="AK249" s="7" t="str">
        <f>"1999"</f>
        <v>1999</v>
      </c>
      <c r="AL249" s="4" t="str">
        <f>"10,00"</f>
        <v>10,00</v>
      </c>
      <c r="AM249" s="4" t="str">
        <f>"2036-2038"</f>
        <v>2036-2038</v>
      </c>
      <c r="AN249" s="4" t="str">
        <f>"нет"</f>
        <v>нет</v>
      </c>
      <c r="AO249" s="4" t="str">
        <f>""</f>
        <v/>
      </c>
      <c r="AP249" s="4" t="str">
        <f>""</f>
        <v/>
      </c>
      <c r="AQ249" s="4" t="str">
        <f>""</f>
        <v/>
      </c>
      <c r="AR249" s="4" t="str">
        <f t="shared" si="254"/>
        <v>нет</v>
      </c>
      <c r="AS249" s="4" t="str">
        <f>""</f>
        <v/>
      </c>
      <c r="AT249" s="4" t="str">
        <f>""</f>
        <v/>
      </c>
      <c r="AU249" s="4" t="str">
        <f>""</f>
        <v/>
      </c>
      <c r="AV249" s="4" t="str">
        <f>""</f>
        <v/>
      </c>
      <c r="AW249" s="4" t="str">
        <f>"0,00"</f>
        <v>0,00</v>
      </c>
      <c r="AX249" s="4" t="str">
        <f>""</f>
        <v/>
      </c>
      <c r="AY249" s="4" t="str">
        <f>""</f>
        <v/>
      </c>
      <c r="AZ249" s="4" t="str">
        <f>""</f>
        <v/>
      </c>
      <c r="BA249" s="4" t="str">
        <f>""</f>
        <v/>
      </c>
      <c r="BB249" s="4" t="str">
        <f>""</f>
        <v/>
      </c>
      <c r="BC249" s="4" t="str">
        <f>""</f>
        <v/>
      </c>
      <c r="BD249" s="4" t="str">
        <f>""</f>
        <v/>
      </c>
      <c r="BE249" s="4" t="str">
        <f>""</f>
        <v/>
      </c>
      <c r="BF249" s="4" t="str">
        <f>""</f>
        <v/>
      </c>
      <c r="BG249" s="4" t="str">
        <f>"1999"</f>
        <v>1999</v>
      </c>
      <c r="BH249" s="4" t="str">
        <f>"10,00"</f>
        <v>10,00</v>
      </c>
      <c r="BI249" s="4" t="str">
        <f>"2036-2038"</f>
        <v>2036-2038</v>
      </c>
      <c r="BJ249" s="4" t="str">
        <f t="shared" si="267"/>
        <v>нет</v>
      </c>
      <c r="BK249" s="4" t="str">
        <f>""</f>
        <v/>
      </c>
      <c r="BL249" s="4" t="str">
        <f>""</f>
        <v/>
      </c>
      <c r="BM249" s="4" t="str">
        <f>""</f>
        <v/>
      </c>
      <c r="BN249" s="4" t="str">
        <f t="shared" si="268"/>
        <v>нет</v>
      </c>
      <c r="BO249" s="4" t="str">
        <f>""</f>
        <v/>
      </c>
      <c r="BP249" s="4" t="str">
        <f>""</f>
        <v/>
      </c>
      <c r="BQ249" s="4" t="str">
        <f>""</f>
        <v/>
      </c>
      <c r="BR249" s="4" t="str">
        <f>"1999"</f>
        <v>1999</v>
      </c>
      <c r="BS249" s="4" t="str">
        <f>"5,00"</f>
        <v>5,00</v>
      </c>
      <c r="BT249" s="4" t="str">
        <f>"2036-2038"</f>
        <v>2036-2038</v>
      </c>
      <c r="BU249" s="4" t="str">
        <f t="shared" si="237"/>
        <v>нет</v>
      </c>
      <c r="BV249" s="4" t="str">
        <f t="shared" si="264"/>
        <v>x</v>
      </c>
      <c r="BW249" s="4" t="str">
        <f t="shared" si="264"/>
        <v>x</v>
      </c>
      <c r="BX249" s="4" t="str">
        <f t="shared" si="264"/>
        <v>x</v>
      </c>
      <c r="BY249" s="4" t="str">
        <f t="shared" si="266"/>
        <v>нет</v>
      </c>
      <c r="BZ249" s="4" t="str">
        <f t="shared" si="270"/>
        <v>x</v>
      </c>
      <c r="CA249" s="4" t="str">
        <f t="shared" si="270"/>
        <v>x</v>
      </c>
      <c r="CB249" s="4" t="str">
        <f t="shared" si="270"/>
        <v>x</v>
      </c>
      <c r="CC249" s="4" t="str">
        <f>"1999"</f>
        <v>1999</v>
      </c>
      <c r="CD249" s="4" t="str">
        <f>"5,00"</f>
        <v>5,00</v>
      </c>
      <c r="CE249" s="4" t="str">
        <f>"2036-2038"</f>
        <v>2036-2038</v>
      </c>
      <c r="CF249" s="4" t="str">
        <f>"1999"</f>
        <v>1999</v>
      </c>
      <c r="CG249" s="4" t="str">
        <f>"5,00"</f>
        <v>5,00</v>
      </c>
      <c r="CH249" s="4" t="str">
        <f>"2036-2038"</f>
        <v>2036-2038</v>
      </c>
      <c r="CI249" s="4" t="str">
        <f>"15,00"</f>
        <v>15,00</v>
      </c>
      <c r="CJ249" s="4" t="str">
        <f>"2036-2038"</f>
        <v>2036-2038</v>
      </c>
    </row>
    <row r="250" spans="1:88" ht="11.25" customHeight="1">
      <c r="A250" s="45" t="str">
        <f>"24.237"</f>
        <v>24.237</v>
      </c>
      <c r="B250" s="46" t="str">
        <f>"д. Бараниха, ул. Овражная, д.1"</f>
        <v>д. Бараниха, ул. Овражная, д.1</v>
      </c>
      <c r="C250" s="6" t="str">
        <f>"1968"</f>
        <v>1968</v>
      </c>
      <c r="D250" s="4" t="str">
        <f>"1968"</f>
        <v>1968</v>
      </c>
      <c r="E250" s="4" t="str">
        <f>"50,00"</f>
        <v>50,00</v>
      </c>
      <c r="F250" s="4" t="str">
        <f>"2023-2025"</f>
        <v>2023-2025</v>
      </c>
      <c r="G250" s="4" t="str">
        <f>"нет"</f>
        <v>нет</v>
      </c>
      <c r="H250" s="4" t="str">
        <f>""</f>
        <v/>
      </c>
      <c r="I250" s="4" t="str">
        <f>""</f>
        <v/>
      </c>
      <c r="J250" s="4" t="str">
        <f>""</f>
        <v/>
      </c>
      <c r="K250" s="4" t="str">
        <f t="shared" si="235"/>
        <v>нет</v>
      </c>
      <c r="L250" s="4" t="str">
        <f>""</f>
        <v/>
      </c>
      <c r="M250" s="4" t="str">
        <f>""</f>
        <v/>
      </c>
      <c r="N250" s="4" t="str">
        <f>""</f>
        <v/>
      </c>
      <c r="O250" s="7" t="str">
        <f>"1968"</f>
        <v>1968</v>
      </c>
      <c r="P250" s="4" t="str">
        <f>"50,00"</f>
        <v>50,00</v>
      </c>
      <c r="Q250" s="4" t="str">
        <f>"2023-2025"</f>
        <v>2023-2025</v>
      </c>
      <c r="R250" s="4" t="str">
        <f>"нет"</f>
        <v>нет</v>
      </c>
      <c r="S250" s="4" t="str">
        <f>""</f>
        <v/>
      </c>
      <c r="T250" s="4" t="str">
        <f>""</f>
        <v/>
      </c>
      <c r="U250" s="4" t="str">
        <f>""</f>
        <v/>
      </c>
      <c r="V250" s="4" t="str">
        <f t="shared" si="253"/>
        <v>нет</v>
      </c>
      <c r="W250" s="4" t="str">
        <f>""</f>
        <v/>
      </c>
      <c r="X250" s="4" t="str">
        <f>""</f>
        <v/>
      </c>
      <c r="Y250" s="8" t="str">
        <f>""</f>
        <v/>
      </c>
      <c r="Z250" s="4" t="str">
        <f t="shared" si="275"/>
        <v>х</v>
      </c>
      <c r="AA250" s="4" t="str">
        <f t="shared" si="275"/>
        <v>х</v>
      </c>
      <c r="AB250" s="4" t="str">
        <f t="shared" si="275"/>
        <v>х</v>
      </c>
      <c r="AC250" s="4" t="str">
        <f t="shared" si="275"/>
        <v>х</v>
      </c>
      <c r="AD250" s="4" t="str">
        <f t="shared" si="275"/>
        <v>х</v>
      </c>
      <c r="AE250" s="4" t="str">
        <f t="shared" si="275"/>
        <v>х</v>
      </c>
      <c r="AF250" s="4" t="str">
        <f t="shared" si="275"/>
        <v>х</v>
      </c>
      <c r="AG250" s="4" t="str">
        <f t="shared" si="275"/>
        <v>х</v>
      </c>
      <c r="AH250" s="4" t="str">
        <f t="shared" si="275"/>
        <v>х</v>
      </c>
      <c r="AI250" s="4" t="str">
        <f t="shared" si="275"/>
        <v>х</v>
      </c>
      <c r="AJ250" s="4" t="str">
        <f t="shared" si="275"/>
        <v>х</v>
      </c>
      <c r="AK250" s="7" t="str">
        <f t="shared" ref="AK250:AT251" si="276">"х"</f>
        <v>х</v>
      </c>
      <c r="AL250" s="4" t="str">
        <f t="shared" si="276"/>
        <v>х</v>
      </c>
      <c r="AM250" s="4" t="str">
        <f t="shared" si="276"/>
        <v>х</v>
      </c>
      <c r="AN250" s="4" t="str">
        <f t="shared" si="276"/>
        <v>х</v>
      </c>
      <c r="AO250" s="4" t="str">
        <f t="shared" si="276"/>
        <v>х</v>
      </c>
      <c r="AP250" s="4" t="str">
        <f t="shared" si="276"/>
        <v>х</v>
      </c>
      <c r="AQ250" s="4" t="str">
        <f t="shared" si="276"/>
        <v>х</v>
      </c>
      <c r="AR250" s="4" t="str">
        <f t="shared" si="276"/>
        <v>х</v>
      </c>
      <c r="AS250" s="4" t="str">
        <f t="shared" si="276"/>
        <v>х</v>
      </c>
      <c r="AT250" s="4" t="str">
        <f t="shared" si="276"/>
        <v>х</v>
      </c>
      <c r="AU250" s="4" t="str">
        <f t="shared" ref="AU250:BD251" si="277">"х"</f>
        <v>х</v>
      </c>
      <c r="AV250" s="4" t="str">
        <f t="shared" si="277"/>
        <v>х</v>
      </c>
      <c r="AW250" s="4" t="str">
        <f t="shared" si="277"/>
        <v>х</v>
      </c>
      <c r="AX250" s="4" t="str">
        <f t="shared" si="277"/>
        <v>х</v>
      </c>
      <c r="AY250" s="4" t="str">
        <f t="shared" si="277"/>
        <v>х</v>
      </c>
      <c r="AZ250" s="4" t="str">
        <f t="shared" si="277"/>
        <v>х</v>
      </c>
      <c r="BA250" s="4" t="str">
        <f t="shared" si="277"/>
        <v>х</v>
      </c>
      <c r="BB250" s="4" t="str">
        <f t="shared" si="277"/>
        <v>х</v>
      </c>
      <c r="BC250" s="4" t="str">
        <f t="shared" si="277"/>
        <v>х</v>
      </c>
      <c r="BD250" s="4" t="str">
        <f t="shared" si="277"/>
        <v>х</v>
      </c>
      <c r="BE250" s="4" t="str">
        <f t="shared" ref="BE250:BQ251" si="278">"х"</f>
        <v>х</v>
      </c>
      <c r="BF250" s="4" t="str">
        <f t="shared" si="278"/>
        <v>х</v>
      </c>
      <c r="BG250" s="4" t="str">
        <f t="shared" si="278"/>
        <v>х</v>
      </c>
      <c r="BH250" s="4" t="str">
        <f t="shared" si="278"/>
        <v>х</v>
      </c>
      <c r="BI250" s="4" t="str">
        <f t="shared" si="278"/>
        <v>х</v>
      </c>
      <c r="BJ250" s="4" t="str">
        <f t="shared" si="278"/>
        <v>х</v>
      </c>
      <c r="BK250" s="4" t="str">
        <f t="shared" si="278"/>
        <v>х</v>
      </c>
      <c r="BL250" s="4" t="str">
        <f t="shared" si="278"/>
        <v>х</v>
      </c>
      <c r="BM250" s="4" t="str">
        <f t="shared" si="278"/>
        <v>х</v>
      </c>
      <c r="BN250" s="4" t="str">
        <f t="shared" si="278"/>
        <v>х</v>
      </c>
      <c r="BO250" s="4" t="str">
        <f t="shared" si="278"/>
        <v>х</v>
      </c>
      <c r="BP250" s="4" t="str">
        <f t="shared" si="278"/>
        <v>х</v>
      </c>
      <c r="BQ250" s="4" t="str">
        <f t="shared" si="278"/>
        <v>х</v>
      </c>
      <c r="BR250" s="4" t="str">
        <f>"1968"</f>
        <v>1968</v>
      </c>
      <c r="BS250" s="4" t="str">
        <f>"40,00"</f>
        <v>40,00</v>
      </c>
      <c r="BT250" s="4" t="str">
        <f>"2023-2025"</f>
        <v>2023-2025</v>
      </c>
      <c r="BU250" s="4" t="str">
        <f t="shared" si="237"/>
        <v>нет</v>
      </c>
      <c r="BV250" s="4" t="str">
        <f t="shared" si="264"/>
        <v>x</v>
      </c>
      <c r="BW250" s="4" t="str">
        <f t="shared" si="264"/>
        <v>x</v>
      </c>
      <c r="BX250" s="4" t="str">
        <f t="shared" si="264"/>
        <v>x</v>
      </c>
      <c r="BY250" s="4" t="str">
        <f t="shared" si="266"/>
        <v>нет</v>
      </c>
      <c r="BZ250" s="4" t="str">
        <f t="shared" si="270"/>
        <v>x</v>
      </c>
      <c r="CA250" s="4" t="str">
        <f t="shared" si="270"/>
        <v>x</v>
      </c>
      <c r="CB250" s="4" t="str">
        <f t="shared" si="270"/>
        <v>x</v>
      </c>
      <c r="CC250" s="4" t="str">
        <f>"1968"</f>
        <v>1968</v>
      </c>
      <c r="CD250" s="4" t="str">
        <f>"30,00"</f>
        <v>30,00</v>
      </c>
      <c r="CE250" s="4" t="str">
        <f>"2023-2025"</f>
        <v>2023-2025</v>
      </c>
      <c r="CF250" s="4" t="str">
        <f>"1968"</f>
        <v>1968</v>
      </c>
      <c r="CG250" s="4" t="str">
        <f>"20,00"</f>
        <v>20,00</v>
      </c>
      <c r="CH250" s="4" t="str">
        <f>"2023-2025"</f>
        <v>2023-2025</v>
      </c>
      <c r="CI250" s="4" t="str">
        <f>"35,00"</f>
        <v>35,00</v>
      </c>
      <c r="CJ250" s="4" t="str">
        <f>"2023-2025"</f>
        <v>2023-2025</v>
      </c>
    </row>
    <row r="251" spans="1:88" ht="11.25" customHeight="1">
      <c r="A251" s="45" t="str">
        <f>"24.238"</f>
        <v>24.238</v>
      </c>
      <c r="B251" s="46" t="str">
        <f>"д. Бараниха, ул. Овражная, д.3"</f>
        <v>д. Бараниха, ул. Овражная, д.3</v>
      </c>
      <c r="C251" s="6" t="str">
        <f>"1973"</f>
        <v>1973</v>
      </c>
      <c r="D251" s="4" t="str">
        <f>"1973"</f>
        <v>1973</v>
      </c>
      <c r="E251" s="4" t="str">
        <f>"50,00"</f>
        <v>50,00</v>
      </c>
      <c r="F251" s="4" t="str">
        <f>"2025-2027"</f>
        <v>2025-2027</v>
      </c>
      <c r="G251" s="4" t="str">
        <f>"нет"</f>
        <v>нет</v>
      </c>
      <c r="H251" s="4" t="str">
        <f>""</f>
        <v/>
      </c>
      <c r="I251" s="4" t="str">
        <f>""</f>
        <v/>
      </c>
      <c r="J251" s="4" t="str">
        <f>""</f>
        <v/>
      </c>
      <c r="K251" s="4" t="str">
        <f t="shared" si="235"/>
        <v>нет</v>
      </c>
      <c r="L251" s="4" t="str">
        <f>""</f>
        <v/>
      </c>
      <c r="M251" s="4" t="str">
        <f>""</f>
        <v/>
      </c>
      <c r="N251" s="4" t="str">
        <f>""</f>
        <v/>
      </c>
      <c r="O251" s="7" t="str">
        <f>"1973"</f>
        <v>1973</v>
      </c>
      <c r="P251" s="4" t="str">
        <f>"50,00"</f>
        <v>50,00</v>
      </c>
      <c r="Q251" s="4" t="str">
        <f>"2025-2027"</f>
        <v>2025-2027</v>
      </c>
      <c r="R251" s="4" t="str">
        <f>"нет"</f>
        <v>нет</v>
      </c>
      <c r="S251" s="4" t="str">
        <f>""</f>
        <v/>
      </c>
      <c r="T251" s="4" t="str">
        <f>""</f>
        <v/>
      </c>
      <c r="U251" s="4" t="str">
        <f>""</f>
        <v/>
      </c>
      <c r="V251" s="4" t="str">
        <f t="shared" si="253"/>
        <v>нет</v>
      </c>
      <c r="W251" s="4" t="str">
        <f>""</f>
        <v/>
      </c>
      <c r="X251" s="4" t="str">
        <f>""</f>
        <v/>
      </c>
      <c r="Y251" s="8" t="str">
        <f>""</f>
        <v/>
      </c>
      <c r="Z251" s="4" t="str">
        <f t="shared" si="275"/>
        <v>х</v>
      </c>
      <c r="AA251" s="4" t="str">
        <f t="shared" si="275"/>
        <v>х</v>
      </c>
      <c r="AB251" s="4" t="str">
        <f t="shared" si="275"/>
        <v>х</v>
      </c>
      <c r="AC251" s="4" t="str">
        <f t="shared" si="275"/>
        <v>х</v>
      </c>
      <c r="AD251" s="4" t="str">
        <f t="shared" si="275"/>
        <v>х</v>
      </c>
      <c r="AE251" s="4" t="str">
        <f t="shared" si="275"/>
        <v>х</v>
      </c>
      <c r="AF251" s="4" t="str">
        <f t="shared" si="275"/>
        <v>х</v>
      </c>
      <c r="AG251" s="4" t="str">
        <f t="shared" si="275"/>
        <v>х</v>
      </c>
      <c r="AH251" s="4" t="str">
        <f t="shared" si="275"/>
        <v>х</v>
      </c>
      <c r="AI251" s="4" t="str">
        <f t="shared" si="275"/>
        <v>х</v>
      </c>
      <c r="AJ251" s="4" t="str">
        <f t="shared" si="275"/>
        <v>х</v>
      </c>
      <c r="AK251" s="7" t="str">
        <f t="shared" si="276"/>
        <v>х</v>
      </c>
      <c r="AL251" s="4" t="str">
        <f t="shared" si="276"/>
        <v>х</v>
      </c>
      <c r="AM251" s="4" t="str">
        <f t="shared" si="276"/>
        <v>х</v>
      </c>
      <c r="AN251" s="4" t="str">
        <f t="shared" si="276"/>
        <v>х</v>
      </c>
      <c r="AO251" s="4" t="str">
        <f t="shared" si="276"/>
        <v>х</v>
      </c>
      <c r="AP251" s="4" t="str">
        <f t="shared" si="276"/>
        <v>х</v>
      </c>
      <c r="AQ251" s="4" t="str">
        <f t="shared" si="276"/>
        <v>х</v>
      </c>
      <c r="AR251" s="4" t="str">
        <f t="shared" si="276"/>
        <v>х</v>
      </c>
      <c r="AS251" s="4" t="str">
        <f t="shared" si="276"/>
        <v>х</v>
      </c>
      <c r="AT251" s="4" t="str">
        <f t="shared" si="276"/>
        <v>х</v>
      </c>
      <c r="AU251" s="4" t="str">
        <f t="shared" si="277"/>
        <v>х</v>
      </c>
      <c r="AV251" s="4" t="str">
        <f t="shared" si="277"/>
        <v>х</v>
      </c>
      <c r="AW251" s="4" t="str">
        <f t="shared" si="277"/>
        <v>х</v>
      </c>
      <c r="AX251" s="4" t="str">
        <f t="shared" si="277"/>
        <v>х</v>
      </c>
      <c r="AY251" s="4" t="str">
        <f t="shared" si="277"/>
        <v>х</v>
      </c>
      <c r="AZ251" s="4" t="str">
        <f t="shared" si="277"/>
        <v>х</v>
      </c>
      <c r="BA251" s="4" t="str">
        <f t="shared" si="277"/>
        <v>х</v>
      </c>
      <c r="BB251" s="4" t="str">
        <f t="shared" si="277"/>
        <v>х</v>
      </c>
      <c r="BC251" s="4" t="str">
        <f t="shared" si="277"/>
        <v>х</v>
      </c>
      <c r="BD251" s="4" t="str">
        <f t="shared" si="277"/>
        <v>х</v>
      </c>
      <c r="BE251" s="4" t="str">
        <f t="shared" si="278"/>
        <v>х</v>
      </c>
      <c r="BF251" s="4" t="str">
        <f t="shared" si="278"/>
        <v>х</v>
      </c>
      <c r="BG251" s="4" t="str">
        <f t="shared" si="278"/>
        <v>х</v>
      </c>
      <c r="BH251" s="4" t="str">
        <f t="shared" si="278"/>
        <v>х</v>
      </c>
      <c r="BI251" s="4" t="str">
        <f t="shared" si="278"/>
        <v>х</v>
      </c>
      <c r="BJ251" s="4" t="str">
        <f t="shared" si="278"/>
        <v>х</v>
      </c>
      <c r="BK251" s="4" t="str">
        <f t="shared" si="278"/>
        <v>х</v>
      </c>
      <c r="BL251" s="4" t="str">
        <f t="shared" si="278"/>
        <v>х</v>
      </c>
      <c r="BM251" s="4" t="str">
        <f t="shared" si="278"/>
        <v>х</v>
      </c>
      <c r="BN251" s="4" t="str">
        <f t="shared" si="278"/>
        <v>х</v>
      </c>
      <c r="BO251" s="4" t="str">
        <f t="shared" si="278"/>
        <v>х</v>
      </c>
      <c r="BP251" s="4" t="str">
        <f t="shared" si="278"/>
        <v>х</v>
      </c>
      <c r="BQ251" s="4" t="str">
        <f t="shared" si="278"/>
        <v>х</v>
      </c>
      <c r="BR251" s="4" t="str">
        <f>"1973"</f>
        <v>1973</v>
      </c>
      <c r="BS251" s="4" t="str">
        <f>"55,00"</f>
        <v>55,00</v>
      </c>
      <c r="BT251" s="4" t="str">
        <f>"2025-2027"</f>
        <v>2025-2027</v>
      </c>
      <c r="BU251" s="4" t="str">
        <f t="shared" si="237"/>
        <v>нет</v>
      </c>
      <c r="BV251" s="4" t="str">
        <f t="shared" si="264"/>
        <v>x</v>
      </c>
      <c r="BW251" s="4" t="str">
        <f t="shared" si="264"/>
        <v>x</v>
      </c>
      <c r="BX251" s="4" t="str">
        <f t="shared" si="264"/>
        <v>x</v>
      </c>
      <c r="BY251" s="4" t="str">
        <f t="shared" si="266"/>
        <v>нет</v>
      </c>
      <c r="BZ251" s="4" t="str">
        <f t="shared" si="270"/>
        <v>x</v>
      </c>
      <c r="CA251" s="4" t="str">
        <f t="shared" si="270"/>
        <v>x</v>
      </c>
      <c r="CB251" s="4" t="str">
        <f t="shared" si="270"/>
        <v>x</v>
      </c>
      <c r="CC251" s="4" t="str">
        <f>"1973"</f>
        <v>1973</v>
      </c>
      <c r="CD251" s="4" t="str">
        <f>"45,00"</f>
        <v>45,00</v>
      </c>
      <c r="CE251" s="4" t="str">
        <f>"2025-2027"</f>
        <v>2025-2027</v>
      </c>
      <c r="CF251" s="4" t="str">
        <f>"1973"</f>
        <v>1973</v>
      </c>
      <c r="CG251" s="4" t="str">
        <f>"45,00"</f>
        <v>45,00</v>
      </c>
      <c r="CH251" s="4" t="str">
        <f>"2025-2027"</f>
        <v>2025-2027</v>
      </c>
      <c r="CI251" s="4" t="str">
        <f>"50,00"</f>
        <v>50,00</v>
      </c>
      <c r="CJ251" s="4" t="str">
        <f>"2025-2027"</f>
        <v>2025-2027</v>
      </c>
    </row>
    <row r="252" spans="1:88" ht="11.25" customHeight="1">
      <c r="A252" s="45" t="str">
        <f>"24.239"</f>
        <v>24.239</v>
      </c>
      <c r="B252" s="46" t="str">
        <f>"д. Бараниха, ул. Овражная, д.5"</f>
        <v>д. Бараниха, ул. Овражная, д.5</v>
      </c>
      <c r="C252" s="6" t="str">
        <f>"1990"</f>
        <v>1990</v>
      </c>
      <c r="D252" s="4" t="str">
        <f>"1990"</f>
        <v>1990</v>
      </c>
      <c r="E252" s="4" t="str">
        <f>"35,00"</f>
        <v>35,00</v>
      </c>
      <c r="F252" s="4" t="str">
        <f>"2034-2036"</f>
        <v>2034-2036</v>
      </c>
      <c r="G252" s="4" t="str">
        <f>"да"</f>
        <v>да</v>
      </c>
      <c r="H252" s="4" t="str">
        <f>"2013"</f>
        <v>2013</v>
      </c>
      <c r="I252" s="4" t="str">
        <f>"1,00"</f>
        <v>1,00</v>
      </c>
      <c r="J252" s="4" t="str">
        <f>"2034-2036"</f>
        <v>2034-2036</v>
      </c>
      <c r="K252" s="4" t="str">
        <f t="shared" si="235"/>
        <v>нет</v>
      </c>
      <c r="L252" s="4" t="str">
        <f>""</f>
        <v/>
      </c>
      <c r="M252" s="4" t="str">
        <f>""</f>
        <v/>
      </c>
      <c r="N252" s="4" t="str">
        <f>""</f>
        <v/>
      </c>
      <c r="O252" s="7" t="str">
        <f>"1990"</f>
        <v>1990</v>
      </c>
      <c r="P252" s="4" t="str">
        <f>"35,00"</f>
        <v>35,00</v>
      </c>
      <c r="Q252" s="4" t="str">
        <f>"2034-2036"</f>
        <v>2034-2036</v>
      </c>
      <c r="R252" s="4" t="str">
        <f>"да"</f>
        <v>да</v>
      </c>
      <c r="S252" s="4" t="str">
        <f>"2012"</f>
        <v>2012</v>
      </c>
      <c r="T252" s="4" t="str">
        <f>"10,00"</f>
        <v>10,00</v>
      </c>
      <c r="U252" s="4" t="str">
        <f>"2034-2036"</f>
        <v>2034-2036</v>
      </c>
      <c r="V252" s="4" t="str">
        <f t="shared" si="253"/>
        <v>нет</v>
      </c>
      <c r="W252" s="4" t="str">
        <f>""</f>
        <v/>
      </c>
      <c r="X252" s="4" t="str">
        <f>""</f>
        <v/>
      </c>
      <c r="Y252" s="8" t="str">
        <f>""</f>
        <v/>
      </c>
      <c r="Z252" s="4" t="str">
        <f t="shared" si="275"/>
        <v>х</v>
      </c>
      <c r="AA252" s="4" t="str">
        <f t="shared" si="275"/>
        <v>х</v>
      </c>
      <c r="AB252" s="4" t="str">
        <f t="shared" si="275"/>
        <v>х</v>
      </c>
      <c r="AC252" s="4" t="str">
        <f t="shared" si="275"/>
        <v>х</v>
      </c>
      <c r="AD252" s="4" t="str">
        <f t="shared" si="275"/>
        <v>х</v>
      </c>
      <c r="AE252" s="4" t="str">
        <f t="shared" si="275"/>
        <v>х</v>
      </c>
      <c r="AF252" s="4" t="str">
        <f t="shared" si="275"/>
        <v>х</v>
      </c>
      <c r="AG252" s="4" t="str">
        <f t="shared" si="275"/>
        <v>х</v>
      </c>
      <c r="AH252" s="4" t="str">
        <f t="shared" si="275"/>
        <v>х</v>
      </c>
      <c r="AI252" s="4" t="str">
        <f t="shared" si="275"/>
        <v>х</v>
      </c>
      <c r="AJ252" s="4" t="str">
        <f t="shared" si="275"/>
        <v>х</v>
      </c>
      <c r="AK252" s="7" t="str">
        <f>"1990"</f>
        <v>1990</v>
      </c>
      <c r="AL252" s="4" t="str">
        <f>"35,00"</f>
        <v>35,00</v>
      </c>
      <c r="AM252" s="4" t="str">
        <f>"2034-2036"</f>
        <v>2034-2036</v>
      </c>
      <c r="AN252" s="4" t="str">
        <f>"да"</f>
        <v>да</v>
      </c>
      <c r="AO252" s="4" t="str">
        <f>"2011"</f>
        <v>2011</v>
      </c>
      <c r="AP252" s="4" t="str">
        <f>"30,00"</f>
        <v>30,00</v>
      </c>
      <c r="AQ252" s="4" t="str">
        <f>"2034-2036"</f>
        <v>2034-2036</v>
      </c>
      <c r="AR252" s="4" t="str">
        <f t="shared" ref="AR252:AR263" si="279">"нет"</f>
        <v>нет</v>
      </c>
      <c r="AS252" s="4" t="str">
        <f>""</f>
        <v/>
      </c>
      <c r="AT252" s="4" t="str">
        <f>""</f>
        <v/>
      </c>
      <c r="AU252" s="4" t="str">
        <f>""</f>
        <v/>
      </c>
      <c r="AV252" s="4" t="str">
        <f t="shared" ref="AV252:BF253" si="280">"х"</f>
        <v>х</v>
      </c>
      <c r="AW252" s="4" t="str">
        <f t="shared" si="280"/>
        <v>х</v>
      </c>
      <c r="AX252" s="4" t="str">
        <f t="shared" si="280"/>
        <v>х</v>
      </c>
      <c r="AY252" s="4" t="str">
        <f t="shared" si="280"/>
        <v>х</v>
      </c>
      <c r="AZ252" s="4" t="str">
        <f t="shared" si="280"/>
        <v>х</v>
      </c>
      <c r="BA252" s="4" t="str">
        <f t="shared" si="280"/>
        <v>х</v>
      </c>
      <c r="BB252" s="4" t="str">
        <f t="shared" si="280"/>
        <v>х</v>
      </c>
      <c r="BC252" s="4" t="str">
        <f t="shared" si="280"/>
        <v>х</v>
      </c>
      <c r="BD252" s="4" t="str">
        <f t="shared" si="280"/>
        <v>х</v>
      </c>
      <c r="BE252" s="4" t="str">
        <f t="shared" si="280"/>
        <v>х</v>
      </c>
      <c r="BF252" s="4" t="str">
        <f t="shared" si="280"/>
        <v>х</v>
      </c>
      <c r="BG252" s="4" t="str">
        <f>"1990"</f>
        <v>1990</v>
      </c>
      <c r="BH252" s="4" t="str">
        <f>"35,00"</f>
        <v>35,00</v>
      </c>
      <c r="BI252" s="4" t="str">
        <f>"2034-2036"</f>
        <v>2034-2036</v>
      </c>
      <c r="BJ252" s="4" t="str">
        <f>"нет"</f>
        <v>нет</v>
      </c>
      <c r="BK252" s="4" t="str">
        <f>""</f>
        <v/>
      </c>
      <c r="BL252" s="4" t="str">
        <f>""</f>
        <v/>
      </c>
      <c r="BM252" s="4" t="str">
        <f>""</f>
        <v/>
      </c>
      <c r="BN252" s="4" t="str">
        <f>"нет"</f>
        <v>нет</v>
      </c>
      <c r="BO252" s="4" t="str">
        <f>""</f>
        <v/>
      </c>
      <c r="BP252" s="4" t="str">
        <f>""</f>
        <v/>
      </c>
      <c r="BQ252" s="4" t="str">
        <f>""</f>
        <v/>
      </c>
      <c r="BR252" s="4" t="str">
        <f>"1990"</f>
        <v>1990</v>
      </c>
      <c r="BS252" s="4" t="str">
        <f>"15,00"</f>
        <v>15,00</v>
      </c>
      <c r="BT252" s="4" t="str">
        <f>"2034-2036"</f>
        <v>2034-2036</v>
      </c>
      <c r="BU252" s="4" t="str">
        <f t="shared" si="237"/>
        <v>нет</v>
      </c>
      <c r="BV252" s="4" t="str">
        <f t="shared" si="264"/>
        <v>x</v>
      </c>
      <c r="BW252" s="4" t="str">
        <f t="shared" si="264"/>
        <v>x</v>
      </c>
      <c r="BX252" s="4" t="str">
        <f t="shared" si="264"/>
        <v>x</v>
      </c>
      <c r="BY252" s="4" t="str">
        <f>"да"</f>
        <v>да</v>
      </c>
      <c r="BZ252" s="4" t="str">
        <f>"1990"</f>
        <v>1990</v>
      </c>
      <c r="CA252" s="4" t="str">
        <f>"10,00"</f>
        <v>10,00</v>
      </c>
      <c r="CB252" s="4" t="str">
        <f>"2034-2036"</f>
        <v>2034-2036</v>
      </c>
      <c r="CC252" s="4" t="str">
        <f>"1990"</f>
        <v>1990</v>
      </c>
      <c r="CD252" s="4" t="str">
        <f>"15,00"</f>
        <v>15,00</v>
      </c>
      <c r="CE252" s="4" t="str">
        <f>"2034-2036"</f>
        <v>2034-2036</v>
      </c>
      <c r="CF252" s="4" t="str">
        <f>"1990"</f>
        <v>1990</v>
      </c>
      <c r="CG252" s="4" t="str">
        <f>"10,00"</f>
        <v>10,00</v>
      </c>
      <c r="CH252" s="4" t="str">
        <f>"2034-2036"</f>
        <v>2034-2036</v>
      </c>
      <c r="CI252" s="4" t="str">
        <f>"19,00"</f>
        <v>19,00</v>
      </c>
      <c r="CJ252" s="4" t="str">
        <f>"2034-2036"</f>
        <v>2034-2036</v>
      </c>
    </row>
    <row r="253" spans="1:88" ht="11.25" customHeight="1">
      <c r="A253" s="45" t="str">
        <f>"24.240"</f>
        <v>24.240</v>
      </c>
      <c r="B253" s="46" t="str">
        <f>"д. Бараниха, ул. Овражная, д.7"</f>
        <v>д. Бараниха, ул. Овражная, д.7</v>
      </c>
      <c r="C253" s="6" t="str">
        <f>"1990"</f>
        <v>1990</v>
      </c>
      <c r="D253" s="4" t="str">
        <f>"1990"</f>
        <v>1990</v>
      </c>
      <c r="E253" s="4" t="str">
        <f>"30,00"</f>
        <v>30,00</v>
      </c>
      <c r="F253" s="4" t="str">
        <f>"2034-2036"</f>
        <v>2034-2036</v>
      </c>
      <c r="G253" s="4" t="str">
        <f>"да"</f>
        <v>да</v>
      </c>
      <c r="H253" s="4" t="str">
        <f>"2013"</f>
        <v>2013</v>
      </c>
      <c r="I253" s="4" t="str">
        <f>"1,00"</f>
        <v>1,00</v>
      </c>
      <c r="J253" s="4" t="str">
        <f>"2034-2036"</f>
        <v>2034-2036</v>
      </c>
      <c r="K253" s="4" t="str">
        <f t="shared" si="235"/>
        <v>нет</v>
      </c>
      <c r="L253" s="4" t="str">
        <f>""</f>
        <v/>
      </c>
      <c r="M253" s="4" t="str">
        <f>""</f>
        <v/>
      </c>
      <c r="N253" s="4" t="str">
        <f>""</f>
        <v/>
      </c>
      <c r="O253" s="7" t="str">
        <f>"1990"</f>
        <v>1990</v>
      </c>
      <c r="P253" s="4" t="str">
        <f>"35,00"</f>
        <v>35,00</v>
      </c>
      <c r="Q253" s="4" t="str">
        <f>"2034-2036"</f>
        <v>2034-2036</v>
      </c>
      <c r="R253" s="4" t="str">
        <f>"да"</f>
        <v>да</v>
      </c>
      <c r="S253" s="4" t="str">
        <f>"2012"</f>
        <v>2012</v>
      </c>
      <c r="T253" s="4" t="str">
        <f>"25,00"</f>
        <v>25,00</v>
      </c>
      <c r="U253" s="4" t="str">
        <f>"2034-2036"</f>
        <v>2034-2036</v>
      </c>
      <c r="V253" s="4" t="str">
        <f t="shared" si="253"/>
        <v>нет</v>
      </c>
      <c r="W253" s="4" t="str">
        <f>""</f>
        <v/>
      </c>
      <c r="X253" s="4" t="str">
        <f>""</f>
        <v/>
      </c>
      <c r="Y253" s="8" t="str">
        <f>""</f>
        <v/>
      </c>
      <c r="Z253" s="4" t="str">
        <f t="shared" si="275"/>
        <v>х</v>
      </c>
      <c r="AA253" s="4" t="str">
        <f t="shared" si="275"/>
        <v>х</v>
      </c>
      <c r="AB253" s="4" t="str">
        <f t="shared" si="275"/>
        <v>х</v>
      </c>
      <c r="AC253" s="4" t="str">
        <f t="shared" si="275"/>
        <v>х</v>
      </c>
      <c r="AD253" s="4" t="str">
        <f t="shared" si="275"/>
        <v>х</v>
      </c>
      <c r="AE253" s="4" t="str">
        <f t="shared" si="275"/>
        <v>х</v>
      </c>
      <c r="AF253" s="4" t="str">
        <f t="shared" si="275"/>
        <v>х</v>
      </c>
      <c r="AG253" s="4" t="str">
        <f t="shared" si="275"/>
        <v>х</v>
      </c>
      <c r="AH253" s="4" t="str">
        <f t="shared" si="275"/>
        <v>х</v>
      </c>
      <c r="AI253" s="4" t="str">
        <f t="shared" si="275"/>
        <v>х</v>
      </c>
      <c r="AJ253" s="4" t="str">
        <f t="shared" si="275"/>
        <v>х</v>
      </c>
      <c r="AK253" s="7" t="str">
        <f>"1990"</f>
        <v>1990</v>
      </c>
      <c r="AL253" s="4" t="str">
        <f>"40,00"</f>
        <v>40,00</v>
      </c>
      <c r="AM253" s="4" t="str">
        <f>"2034-2036"</f>
        <v>2034-2036</v>
      </c>
      <c r="AN253" s="4" t="str">
        <f>"да"</f>
        <v>да</v>
      </c>
      <c r="AO253" s="4" t="str">
        <f>"2011"</f>
        <v>2011</v>
      </c>
      <c r="AP253" s="4" t="str">
        <f>"30,00"</f>
        <v>30,00</v>
      </c>
      <c r="AQ253" s="4" t="str">
        <f>"2034-2036"</f>
        <v>2034-2036</v>
      </c>
      <c r="AR253" s="4" t="str">
        <f t="shared" si="279"/>
        <v>нет</v>
      </c>
      <c r="AS253" s="4" t="str">
        <f>""</f>
        <v/>
      </c>
      <c r="AT253" s="4" t="str">
        <f>""</f>
        <v/>
      </c>
      <c r="AU253" s="4" t="str">
        <f>""</f>
        <v/>
      </c>
      <c r="AV253" s="4" t="str">
        <f t="shared" si="280"/>
        <v>х</v>
      </c>
      <c r="AW253" s="4" t="str">
        <f t="shared" si="280"/>
        <v>х</v>
      </c>
      <c r="AX253" s="4" t="str">
        <f t="shared" si="280"/>
        <v>х</v>
      </c>
      <c r="AY253" s="4" t="str">
        <f t="shared" si="280"/>
        <v>х</v>
      </c>
      <c r="AZ253" s="4" t="str">
        <f t="shared" si="280"/>
        <v>х</v>
      </c>
      <c r="BA253" s="4" t="str">
        <f t="shared" si="280"/>
        <v>х</v>
      </c>
      <c r="BB253" s="4" t="str">
        <f t="shared" si="280"/>
        <v>х</v>
      </c>
      <c r="BC253" s="4" t="str">
        <f t="shared" si="280"/>
        <v>х</v>
      </c>
      <c r="BD253" s="4" t="str">
        <f t="shared" si="280"/>
        <v>х</v>
      </c>
      <c r="BE253" s="4" t="str">
        <f t="shared" si="280"/>
        <v>х</v>
      </c>
      <c r="BF253" s="4" t="str">
        <f t="shared" si="280"/>
        <v>х</v>
      </c>
      <c r="BG253" s="4" t="str">
        <f>"1990"</f>
        <v>1990</v>
      </c>
      <c r="BH253" s="4" t="str">
        <f>"30,00"</f>
        <v>30,00</v>
      </c>
      <c r="BI253" s="4" t="str">
        <f>"2034-2036"</f>
        <v>2034-2036</v>
      </c>
      <c r="BJ253" s="4" t="str">
        <f>"нет"</f>
        <v>нет</v>
      </c>
      <c r="BK253" s="4" t="str">
        <f>""</f>
        <v/>
      </c>
      <c r="BL253" s="4" t="str">
        <f>""</f>
        <v/>
      </c>
      <c r="BM253" s="4" t="str">
        <f>""</f>
        <v/>
      </c>
      <c r="BN253" s="4" t="str">
        <f>"нет"</f>
        <v>нет</v>
      </c>
      <c r="BO253" s="4" t="str">
        <f>""</f>
        <v/>
      </c>
      <c r="BP253" s="4" t="str">
        <f>""</f>
        <v/>
      </c>
      <c r="BQ253" s="4" t="str">
        <f>""</f>
        <v/>
      </c>
      <c r="BR253" s="4" t="str">
        <f>"1990"</f>
        <v>1990</v>
      </c>
      <c r="BS253" s="4" t="str">
        <f>"15,00"</f>
        <v>15,00</v>
      </c>
      <c r="BT253" s="4" t="str">
        <f>"2034-2036"</f>
        <v>2034-2036</v>
      </c>
      <c r="BU253" s="4" t="str">
        <f t="shared" si="237"/>
        <v>нет</v>
      </c>
      <c r="BV253" s="4" t="str">
        <f t="shared" si="264"/>
        <v>x</v>
      </c>
      <c r="BW253" s="4" t="str">
        <f t="shared" si="264"/>
        <v>x</v>
      </c>
      <c r="BX253" s="4" t="str">
        <f t="shared" si="264"/>
        <v>x</v>
      </c>
      <c r="BY253" s="4" t="str">
        <f>"да"</f>
        <v>да</v>
      </c>
      <c r="BZ253" s="4" t="str">
        <f>"1990"</f>
        <v>1990</v>
      </c>
      <c r="CA253" s="4" t="str">
        <f>"10,00"</f>
        <v>10,00</v>
      </c>
      <c r="CB253" s="4" t="str">
        <f>"2034-2036"</f>
        <v>2034-2036</v>
      </c>
      <c r="CC253" s="4" t="str">
        <f>"1990"</f>
        <v>1990</v>
      </c>
      <c r="CD253" s="4" t="str">
        <f>"15,00"</f>
        <v>15,00</v>
      </c>
      <c r="CE253" s="4" t="str">
        <f>"2034-2036"</f>
        <v>2034-2036</v>
      </c>
      <c r="CF253" s="4" t="str">
        <f>"1990"</f>
        <v>1990</v>
      </c>
      <c r="CG253" s="4" t="str">
        <f>"10,00"</f>
        <v>10,00</v>
      </c>
      <c r="CH253" s="4" t="str">
        <f>"2034-2036"</f>
        <v>2034-2036</v>
      </c>
      <c r="CI253" s="4" t="str">
        <f>"18,00"</f>
        <v>18,00</v>
      </c>
      <c r="CJ253" s="4" t="str">
        <f>"2034-2036"</f>
        <v>2034-2036</v>
      </c>
    </row>
    <row r="254" spans="1:88" ht="11.25" customHeight="1">
      <c r="A254" s="45" t="str">
        <f>"24.241"</f>
        <v>24.241</v>
      </c>
      <c r="B254" s="46" t="str">
        <f>"д. Гора (Разинское МО), д.50"</f>
        <v>д. Гора (Разинское МО), д.50</v>
      </c>
      <c r="C254" s="6" t="str">
        <f t="shared" ref="C254:D256" si="281">"1987"</f>
        <v>1987</v>
      </c>
      <c r="D254" s="4" t="str">
        <f t="shared" si="281"/>
        <v>1987</v>
      </c>
      <c r="E254" s="4" t="str">
        <f>"19,00"</f>
        <v>19,00</v>
      </c>
      <c r="F254" s="4" t="str">
        <f>"2032-2034"</f>
        <v>2032-2034</v>
      </c>
      <c r="G254" s="4" t="str">
        <f>"нет"</f>
        <v>нет</v>
      </c>
      <c r="H254" s="4" t="str">
        <f>""</f>
        <v/>
      </c>
      <c r="I254" s="4" t="str">
        <f>""</f>
        <v/>
      </c>
      <c r="J254" s="4" t="str">
        <f>""</f>
        <v/>
      </c>
      <c r="K254" s="4" t="str">
        <f t="shared" si="235"/>
        <v>нет</v>
      </c>
      <c r="L254" s="4" t="str">
        <f>""</f>
        <v/>
      </c>
      <c r="M254" s="4" t="str">
        <f>""</f>
        <v/>
      </c>
      <c r="N254" s="4" t="str">
        <f>""</f>
        <v/>
      </c>
      <c r="O254" s="7" t="str">
        <f>"1987"</f>
        <v>1987</v>
      </c>
      <c r="P254" s="4" t="str">
        <f>"19,00"</f>
        <v>19,00</v>
      </c>
      <c r="Q254" s="4" t="str">
        <f>"2032-2034"</f>
        <v>2032-2034</v>
      </c>
      <c r="R254" s="4" t="str">
        <f>"нет"</f>
        <v>нет</v>
      </c>
      <c r="S254" s="4" t="str">
        <f>""</f>
        <v/>
      </c>
      <c r="T254" s="4" t="str">
        <f>""</f>
        <v/>
      </c>
      <c r="U254" s="4" t="str">
        <f>""</f>
        <v/>
      </c>
      <c r="V254" s="4" t="str">
        <f t="shared" si="253"/>
        <v>нет</v>
      </c>
      <c r="W254" s="4" t="str">
        <f>""</f>
        <v/>
      </c>
      <c r="X254" s="4" t="str">
        <f>""</f>
        <v/>
      </c>
      <c r="Y254" s="8" t="str">
        <f>""</f>
        <v/>
      </c>
      <c r="Z254" s="4" t="str">
        <f t="shared" si="275"/>
        <v>х</v>
      </c>
      <c r="AA254" s="4" t="str">
        <f t="shared" si="275"/>
        <v>х</v>
      </c>
      <c r="AB254" s="4" t="str">
        <f t="shared" si="275"/>
        <v>х</v>
      </c>
      <c r="AC254" s="4" t="str">
        <f t="shared" si="275"/>
        <v>х</v>
      </c>
      <c r="AD254" s="4" t="str">
        <f t="shared" si="275"/>
        <v>х</v>
      </c>
      <c r="AE254" s="4" t="str">
        <f t="shared" si="275"/>
        <v>х</v>
      </c>
      <c r="AF254" s="4" t="str">
        <f t="shared" si="275"/>
        <v>х</v>
      </c>
      <c r="AG254" s="4" t="str">
        <f t="shared" si="275"/>
        <v>х</v>
      </c>
      <c r="AH254" s="4" t="str">
        <f t="shared" si="275"/>
        <v>х</v>
      </c>
      <c r="AI254" s="4" t="str">
        <f t="shared" si="275"/>
        <v>х</v>
      </c>
      <c r="AJ254" s="4" t="str">
        <f t="shared" si="275"/>
        <v>х</v>
      </c>
      <c r="AK254" s="7" t="str">
        <f>"1987"</f>
        <v>1987</v>
      </c>
      <c r="AL254" s="4" t="str">
        <f>"19,00"</f>
        <v>19,00</v>
      </c>
      <c r="AM254" s="4" t="str">
        <f>"2032-2034"</f>
        <v>2032-2034</v>
      </c>
      <c r="AN254" s="4" t="str">
        <f t="shared" ref="AN254:AN263" si="282">"нет"</f>
        <v>нет</v>
      </c>
      <c r="AO254" s="4" t="str">
        <f>""</f>
        <v/>
      </c>
      <c r="AP254" s="4" t="str">
        <f>""</f>
        <v/>
      </c>
      <c r="AQ254" s="4" t="str">
        <f>""</f>
        <v/>
      </c>
      <c r="AR254" s="4" t="str">
        <f t="shared" si="279"/>
        <v>нет</v>
      </c>
      <c r="AS254" s="4" t="str">
        <f>""</f>
        <v/>
      </c>
      <c r="AT254" s="4" t="str">
        <f>""</f>
        <v/>
      </c>
      <c r="AU254" s="4" t="str">
        <f>""</f>
        <v/>
      </c>
      <c r="AV254" s="4" t="str">
        <f>""</f>
        <v/>
      </c>
      <c r="AW254" s="4" t="str">
        <f>""</f>
        <v/>
      </c>
      <c r="AX254" s="4" t="str">
        <f>""</f>
        <v/>
      </c>
      <c r="AY254" s="4" t="str">
        <f>""</f>
        <v/>
      </c>
      <c r="AZ254" s="4" t="str">
        <f>""</f>
        <v/>
      </c>
      <c r="BA254" s="4" t="str">
        <f>""</f>
        <v/>
      </c>
      <c r="BB254" s="4" t="str">
        <f>""</f>
        <v/>
      </c>
      <c r="BC254" s="4" t="str">
        <f>""</f>
        <v/>
      </c>
      <c r="BD254" s="4" t="str">
        <f>""</f>
        <v/>
      </c>
      <c r="BE254" s="4" t="str">
        <f>""</f>
        <v/>
      </c>
      <c r="BF254" s="4" t="str">
        <f>""</f>
        <v/>
      </c>
      <c r="BG254" s="4" t="str">
        <f>"1987"</f>
        <v>1987</v>
      </c>
      <c r="BH254" s="4" t="str">
        <f>"19,00"</f>
        <v>19,00</v>
      </c>
      <c r="BI254" s="4" t="str">
        <f>"2032-2034"</f>
        <v>2032-2034</v>
      </c>
      <c r="BJ254" s="4" t="str">
        <f>"нет"</f>
        <v>нет</v>
      </c>
      <c r="BK254" s="4" t="str">
        <f>""</f>
        <v/>
      </c>
      <c r="BL254" s="4" t="str">
        <f>""</f>
        <v/>
      </c>
      <c r="BM254" s="4" t="str">
        <f>""</f>
        <v/>
      </c>
      <c r="BN254" s="4" t="str">
        <f>"нет"</f>
        <v>нет</v>
      </c>
      <c r="BO254" s="4" t="str">
        <f>""</f>
        <v/>
      </c>
      <c r="BP254" s="4" t="str">
        <f>""</f>
        <v/>
      </c>
      <c r="BQ254" s="4" t="str">
        <f>""</f>
        <v/>
      </c>
      <c r="BR254" s="4" t="str">
        <f>"1987"</f>
        <v>1987</v>
      </c>
      <c r="BS254" s="4" t="str">
        <f>"19,00"</f>
        <v>19,00</v>
      </c>
      <c r="BT254" s="4" t="str">
        <f>"2032-2034"</f>
        <v>2032-2034</v>
      </c>
      <c r="BU254" s="4" t="str">
        <f t="shared" si="237"/>
        <v>нет</v>
      </c>
      <c r="BV254" s="4" t="str">
        <f t="shared" ref="BV254:BX273" si="283">"x"</f>
        <v>x</v>
      </c>
      <c r="BW254" s="4" t="str">
        <f t="shared" si="283"/>
        <v>x</v>
      </c>
      <c r="BX254" s="4" t="str">
        <f t="shared" si="283"/>
        <v>x</v>
      </c>
      <c r="BY254" s="4" t="str">
        <f>"да"</f>
        <v>да</v>
      </c>
      <c r="BZ254" s="4" t="str">
        <f>"1987"</f>
        <v>1987</v>
      </c>
      <c r="CA254" s="4" t="str">
        <f>"19,00"</f>
        <v>19,00</v>
      </c>
      <c r="CB254" s="4" t="str">
        <f>"2032-2034"</f>
        <v>2032-2034</v>
      </c>
      <c r="CC254" s="4" t="str">
        <f>"1987"</f>
        <v>1987</v>
      </c>
      <c r="CD254" s="4" t="str">
        <f>"20,00"</f>
        <v>20,00</v>
      </c>
      <c r="CE254" s="4" t="str">
        <f>"2032-2034"</f>
        <v>2032-2034</v>
      </c>
      <c r="CF254" s="4" t="str">
        <f>"1987"</f>
        <v>1987</v>
      </c>
      <c r="CG254" s="4" t="str">
        <f>"43,00"</f>
        <v>43,00</v>
      </c>
      <c r="CH254" s="4" t="str">
        <f>"2032-2034"</f>
        <v>2032-2034</v>
      </c>
      <c r="CI254" s="4" t="str">
        <f>"19,00"</f>
        <v>19,00</v>
      </c>
      <c r="CJ254" s="4" t="str">
        <f>"2032-2034"</f>
        <v>2032-2034</v>
      </c>
    </row>
    <row r="255" spans="1:88" ht="11.25" customHeight="1">
      <c r="A255" s="45" t="str">
        <f>"24.242"</f>
        <v>24.242</v>
      </c>
      <c r="B255" s="46" t="str">
        <f>"д. Гора (Разинское МО), д.51"</f>
        <v>д. Гора (Разинское МО), д.51</v>
      </c>
      <c r="C255" s="6" t="str">
        <f t="shared" si="281"/>
        <v>1987</v>
      </c>
      <c r="D255" s="4" t="str">
        <f t="shared" si="281"/>
        <v>1987</v>
      </c>
      <c r="E255" s="4" t="str">
        <f>"20,00"</f>
        <v>20,00</v>
      </c>
      <c r="F255" s="4" t="str">
        <f>"2032-2034"</f>
        <v>2032-2034</v>
      </c>
      <c r="G255" s="4" t="str">
        <f>"нет"</f>
        <v>нет</v>
      </c>
      <c r="H255" s="4" t="str">
        <f>""</f>
        <v/>
      </c>
      <c r="I255" s="4" t="str">
        <f>""</f>
        <v/>
      </c>
      <c r="J255" s="4" t="str">
        <f>""</f>
        <v/>
      </c>
      <c r="K255" s="4" t="str">
        <f t="shared" si="235"/>
        <v>нет</v>
      </c>
      <c r="L255" s="4" t="str">
        <f>""</f>
        <v/>
      </c>
      <c r="M255" s="4" t="str">
        <f>""</f>
        <v/>
      </c>
      <c r="N255" s="4" t="str">
        <f>""</f>
        <v/>
      </c>
      <c r="O255" s="7" t="str">
        <f>"1987"</f>
        <v>1987</v>
      </c>
      <c r="P255" s="4" t="str">
        <f>"19,00"</f>
        <v>19,00</v>
      </c>
      <c r="Q255" s="4" t="str">
        <f>"2032-2034"</f>
        <v>2032-2034</v>
      </c>
      <c r="R255" s="4" t="str">
        <f>"нет"</f>
        <v>нет</v>
      </c>
      <c r="S255" s="4" t="str">
        <f>""</f>
        <v/>
      </c>
      <c r="T255" s="4" t="str">
        <f>""</f>
        <v/>
      </c>
      <c r="U255" s="4" t="str">
        <f>""</f>
        <v/>
      </c>
      <c r="V255" s="4" t="str">
        <f t="shared" si="253"/>
        <v>нет</v>
      </c>
      <c r="W255" s="4" t="str">
        <f>""</f>
        <v/>
      </c>
      <c r="X255" s="4" t="str">
        <f>""</f>
        <v/>
      </c>
      <c r="Y255" s="8" t="str">
        <f>""</f>
        <v/>
      </c>
      <c r="Z255" s="4" t="str">
        <f t="shared" si="275"/>
        <v>х</v>
      </c>
      <c r="AA255" s="4" t="str">
        <f t="shared" si="275"/>
        <v>х</v>
      </c>
      <c r="AB255" s="4" t="str">
        <f t="shared" si="275"/>
        <v>х</v>
      </c>
      <c r="AC255" s="4" t="str">
        <f t="shared" si="275"/>
        <v>х</v>
      </c>
      <c r="AD255" s="4" t="str">
        <f t="shared" si="275"/>
        <v>х</v>
      </c>
      <c r="AE255" s="4" t="str">
        <f t="shared" si="275"/>
        <v>х</v>
      </c>
      <c r="AF255" s="4" t="str">
        <f t="shared" si="275"/>
        <v>х</v>
      </c>
      <c r="AG255" s="4" t="str">
        <f t="shared" si="275"/>
        <v>х</v>
      </c>
      <c r="AH255" s="4" t="str">
        <f t="shared" si="275"/>
        <v>х</v>
      </c>
      <c r="AI255" s="4" t="str">
        <f t="shared" si="275"/>
        <v>х</v>
      </c>
      <c r="AJ255" s="4" t="str">
        <f t="shared" si="275"/>
        <v>х</v>
      </c>
      <c r="AK255" s="7" t="str">
        <f>"1987"</f>
        <v>1987</v>
      </c>
      <c r="AL255" s="4" t="str">
        <f>"19,00"</f>
        <v>19,00</v>
      </c>
      <c r="AM255" s="4" t="str">
        <f>"2032-2034"</f>
        <v>2032-2034</v>
      </c>
      <c r="AN255" s="4" t="str">
        <f t="shared" si="282"/>
        <v>нет</v>
      </c>
      <c r="AO255" s="4" t="str">
        <f>""</f>
        <v/>
      </c>
      <c r="AP255" s="4" t="str">
        <f>""</f>
        <v/>
      </c>
      <c r="AQ255" s="4" t="str">
        <f>""</f>
        <v/>
      </c>
      <c r="AR255" s="4" t="str">
        <f t="shared" si="279"/>
        <v>нет</v>
      </c>
      <c r="AS255" s="4" t="str">
        <f>""</f>
        <v/>
      </c>
      <c r="AT255" s="4" t="str">
        <f>""</f>
        <v/>
      </c>
      <c r="AU255" s="4" t="str">
        <f>""</f>
        <v/>
      </c>
      <c r="AV255" s="4" t="str">
        <f>""</f>
        <v/>
      </c>
      <c r="AW255" s="4" t="str">
        <f>""</f>
        <v/>
      </c>
      <c r="AX255" s="4" t="str">
        <f>""</f>
        <v/>
      </c>
      <c r="AY255" s="4" t="str">
        <f>""</f>
        <v/>
      </c>
      <c r="AZ255" s="4" t="str">
        <f>""</f>
        <v/>
      </c>
      <c r="BA255" s="4" t="str">
        <f>""</f>
        <v/>
      </c>
      <c r="BB255" s="4" t="str">
        <f>""</f>
        <v/>
      </c>
      <c r="BC255" s="4" t="str">
        <f>""</f>
        <v/>
      </c>
      <c r="BD255" s="4" t="str">
        <f>""</f>
        <v/>
      </c>
      <c r="BE255" s="4" t="str">
        <f>""</f>
        <v/>
      </c>
      <c r="BF255" s="4" t="str">
        <f>""</f>
        <v/>
      </c>
      <c r="BG255" s="4" t="str">
        <f>"1987"</f>
        <v>1987</v>
      </c>
      <c r="BH255" s="4" t="str">
        <f>"19,00"</f>
        <v>19,00</v>
      </c>
      <c r="BI255" s="4" t="str">
        <f>"2032-2034"</f>
        <v>2032-2034</v>
      </c>
      <c r="BJ255" s="4" t="str">
        <f>"нет"</f>
        <v>нет</v>
      </c>
      <c r="BK255" s="4" t="str">
        <f>""</f>
        <v/>
      </c>
      <c r="BL255" s="4" t="str">
        <f>""</f>
        <v/>
      </c>
      <c r="BM255" s="4" t="str">
        <f>""</f>
        <v/>
      </c>
      <c r="BN255" s="4" t="str">
        <f>"нет"</f>
        <v>нет</v>
      </c>
      <c r="BO255" s="4" t="str">
        <f>""</f>
        <v/>
      </c>
      <c r="BP255" s="4" t="str">
        <f>""</f>
        <v/>
      </c>
      <c r="BQ255" s="4" t="str">
        <f>""</f>
        <v/>
      </c>
      <c r="BR255" s="4" t="str">
        <f>"1987"</f>
        <v>1987</v>
      </c>
      <c r="BS255" s="4" t="str">
        <f>"19,00"</f>
        <v>19,00</v>
      </c>
      <c r="BT255" s="4" t="str">
        <f>"2032-2034"</f>
        <v>2032-2034</v>
      </c>
      <c r="BU255" s="4" t="str">
        <f t="shared" si="237"/>
        <v>нет</v>
      </c>
      <c r="BV255" s="4" t="str">
        <f t="shared" si="283"/>
        <v>x</v>
      </c>
      <c r="BW255" s="4" t="str">
        <f t="shared" si="283"/>
        <v>x</v>
      </c>
      <c r="BX255" s="4" t="str">
        <f t="shared" si="283"/>
        <v>x</v>
      </c>
      <c r="BY255" s="4" t="str">
        <f>"да"</f>
        <v>да</v>
      </c>
      <c r="BZ255" s="4" t="str">
        <f>"1987"</f>
        <v>1987</v>
      </c>
      <c r="CA255" s="4" t="str">
        <f>"19,00"</f>
        <v>19,00</v>
      </c>
      <c r="CB255" s="4" t="str">
        <f>"2032-2034"</f>
        <v>2032-2034</v>
      </c>
      <c r="CC255" s="4" t="str">
        <f>"1987"</f>
        <v>1987</v>
      </c>
      <c r="CD255" s="4" t="str">
        <f>"19,00"</f>
        <v>19,00</v>
      </c>
      <c r="CE255" s="4" t="str">
        <f>"2032-2034"</f>
        <v>2032-2034</v>
      </c>
      <c r="CF255" s="4" t="str">
        <f>"1987"</f>
        <v>1987</v>
      </c>
      <c r="CG255" s="4" t="str">
        <f>"43,00"</f>
        <v>43,00</v>
      </c>
      <c r="CH255" s="4" t="str">
        <f>"2032-2034"</f>
        <v>2032-2034</v>
      </c>
      <c r="CI255" s="4" t="str">
        <f>"19,00"</f>
        <v>19,00</v>
      </c>
      <c r="CJ255" s="4" t="str">
        <f>"2032-2034"</f>
        <v>2032-2034</v>
      </c>
    </row>
    <row r="256" spans="1:88" ht="11.25" customHeight="1">
      <c r="A256" s="45" t="str">
        <f>"24.243"</f>
        <v>24.243</v>
      </c>
      <c r="B256" s="46" t="str">
        <f>"д. Гора (Разинское МО), д.52"</f>
        <v>д. Гора (Разинское МО), д.52</v>
      </c>
      <c r="C256" s="6" t="str">
        <f t="shared" si="281"/>
        <v>1987</v>
      </c>
      <c r="D256" s="4" t="str">
        <f t="shared" si="281"/>
        <v>1987</v>
      </c>
      <c r="E256" s="4" t="str">
        <f>"19,00"</f>
        <v>19,00</v>
      </c>
      <c r="F256" s="4" t="str">
        <f>"2032-2034"</f>
        <v>2032-2034</v>
      </c>
      <c r="G256" s="4" t="str">
        <f>"нет"</f>
        <v>нет</v>
      </c>
      <c r="H256" s="4" t="str">
        <f>""</f>
        <v/>
      </c>
      <c r="I256" s="4" t="str">
        <f>""</f>
        <v/>
      </c>
      <c r="J256" s="4" t="str">
        <f>""</f>
        <v/>
      </c>
      <c r="K256" s="4" t="str">
        <f t="shared" si="235"/>
        <v>нет</v>
      </c>
      <c r="L256" s="4" t="str">
        <f>""</f>
        <v/>
      </c>
      <c r="M256" s="4" t="str">
        <f>""</f>
        <v/>
      </c>
      <c r="N256" s="4" t="str">
        <f>""</f>
        <v/>
      </c>
      <c r="O256" s="7" t="str">
        <f>"1987"</f>
        <v>1987</v>
      </c>
      <c r="P256" s="4" t="str">
        <f>"19,00"</f>
        <v>19,00</v>
      </c>
      <c r="Q256" s="4" t="str">
        <f>"2032-2034"</f>
        <v>2032-2034</v>
      </c>
      <c r="R256" s="4" t="str">
        <f>"нет"</f>
        <v>нет</v>
      </c>
      <c r="S256" s="4" t="str">
        <f>""</f>
        <v/>
      </c>
      <c r="T256" s="4" t="str">
        <f>""</f>
        <v/>
      </c>
      <c r="U256" s="4" t="str">
        <f>""</f>
        <v/>
      </c>
      <c r="V256" s="4" t="str">
        <f t="shared" si="253"/>
        <v>нет</v>
      </c>
      <c r="W256" s="4" t="str">
        <f>""</f>
        <v/>
      </c>
      <c r="X256" s="4" t="str">
        <f>""</f>
        <v/>
      </c>
      <c r="Y256" s="8" t="str">
        <f>""</f>
        <v/>
      </c>
      <c r="Z256" s="4" t="str">
        <f t="shared" si="275"/>
        <v>х</v>
      </c>
      <c r="AA256" s="4" t="str">
        <f t="shared" si="275"/>
        <v>х</v>
      </c>
      <c r="AB256" s="4" t="str">
        <f t="shared" si="275"/>
        <v>х</v>
      </c>
      <c r="AC256" s="4" t="str">
        <f t="shared" si="275"/>
        <v>х</v>
      </c>
      <c r="AD256" s="4" t="str">
        <f t="shared" si="275"/>
        <v>х</v>
      </c>
      <c r="AE256" s="4" t="str">
        <f t="shared" si="275"/>
        <v>х</v>
      </c>
      <c r="AF256" s="4" t="str">
        <f t="shared" si="275"/>
        <v>х</v>
      </c>
      <c r="AG256" s="4" t="str">
        <f t="shared" si="275"/>
        <v>х</v>
      </c>
      <c r="AH256" s="4" t="str">
        <f t="shared" si="275"/>
        <v>х</v>
      </c>
      <c r="AI256" s="4" t="str">
        <f t="shared" si="275"/>
        <v>х</v>
      </c>
      <c r="AJ256" s="4" t="str">
        <f t="shared" si="275"/>
        <v>х</v>
      </c>
      <c r="AK256" s="7" t="str">
        <f>"1987"</f>
        <v>1987</v>
      </c>
      <c r="AL256" s="4" t="str">
        <f>"19,00"</f>
        <v>19,00</v>
      </c>
      <c r="AM256" s="4" t="str">
        <f>"2032-2034"</f>
        <v>2032-2034</v>
      </c>
      <c r="AN256" s="4" t="str">
        <f t="shared" si="282"/>
        <v>нет</v>
      </c>
      <c r="AO256" s="4" t="str">
        <f>""</f>
        <v/>
      </c>
      <c r="AP256" s="4" t="str">
        <f>""</f>
        <v/>
      </c>
      <c r="AQ256" s="4" t="str">
        <f>""</f>
        <v/>
      </c>
      <c r="AR256" s="4" t="str">
        <f t="shared" si="279"/>
        <v>нет</v>
      </c>
      <c r="AS256" s="4" t="str">
        <f>""</f>
        <v/>
      </c>
      <c r="AT256" s="4" t="str">
        <f>""</f>
        <v/>
      </c>
      <c r="AU256" s="4" t="str">
        <f>""</f>
        <v/>
      </c>
      <c r="AV256" s="4" t="str">
        <f>""</f>
        <v/>
      </c>
      <c r="AW256" s="4" t="str">
        <f>""</f>
        <v/>
      </c>
      <c r="AX256" s="4" t="str">
        <f>""</f>
        <v/>
      </c>
      <c r="AY256" s="4" t="str">
        <f>""</f>
        <v/>
      </c>
      <c r="AZ256" s="4" t="str">
        <f>""</f>
        <v/>
      </c>
      <c r="BA256" s="4" t="str">
        <f>""</f>
        <v/>
      </c>
      <c r="BB256" s="4" t="str">
        <f>""</f>
        <v/>
      </c>
      <c r="BC256" s="4" t="str">
        <f>""</f>
        <v/>
      </c>
      <c r="BD256" s="4" t="str">
        <f>""</f>
        <v/>
      </c>
      <c r="BE256" s="4" t="str">
        <f>""</f>
        <v/>
      </c>
      <c r="BF256" s="4" t="str">
        <f>""</f>
        <v/>
      </c>
      <c r="BG256" s="4" t="str">
        <f>"1987"</f>
        <v>1987</v>
      </c>
      <c r="BH256" s="4" t="str">
        <f>"19,00"</f>
        <v>19,00</v>
      </c>
      <c r="BI256" s="4" t="str">
        <f>"2032-2034"</f>
        <v>2032-2034</v>
      </c>
      <c r="BJ256" s="4" t="str">
        <f>"нет"</f>
        <v>нет</v>
      </c>
      <c r="BK256" s="4" t="str">
        <f>""</f>
        <v/>
      </c>
      <c r="BL256" s="4" t="str">
        <f>""</f>
        <v/>
      </c>
      <c r="BM256" s="4" t="str">
        <f>""</f>
        <v/>
      </c>
      <c r="BN256" s="4" t="str">
        <f>"нет"</f>
        <v>нет</v>
      </c>
      <c r="BO256" s="4" t="str">
        <f>""</f>
        <v/>
      </c>
      <c r="BP256" s="4" t="str">
        <f>""</f>
        <v/>
      </c>
      <c r="BQ256" s="4" t="str">
        <f>""</f>
        <v/>
      </c>
      <c r="BR256" s="4" t="str">
        <f>"1987"</f>
        <v>1987</v>
      </c>
      <c r="BS256" s="4" t="str">
        <f>"19,00"</f>
        <v>19,00</v>
      </c>
      <c r="BT256" s="4" t="str">
        <f>"2032-2034"</f>
        <v>2032-2034</v>
      </c>
      <c r="BU256" s="4" t="str">
        <f t="shared" si="237"/>
        <v>нет</v>
      </c>
      <c r="BV256" s="4" t="str">
        <f t="shared" si="283"/>
        <v>x</v>
      </c>
      <c r="BW256" s="4" t="str">
        <f t="shared" si="283"/>
        <v>x</v>
      </c>
      <c r="BX256" s="4" t="str">
        <f t="shared" si="283"/>
        <v>x</v>
      </c>
      <c r="BY256" s="4" t="str">
        <f>"да"</f>
        <v>да</v>
      </c>
      <c r="BZ256" s="4" t="str">
        <f>"1987"</f>
        <v>1987</v>
      </c>
      <c r="CA256" s="4" t="str">
        <f>"19,00"</f>
        <v>19,00</v>
      </c>
      <c r="CB256" s="4" t="str">
        <f>"2032-2034"</f>
        <v>2032-2034</v>
      </c>
      <c r="CC256" s="4" t="str">
        <f>"1987"</f>
        <v>1987</v>
      </c>
      <c r="CD256" s="4" t="str">
        <f>"19,00"</f>
        <v>19,00</v>
      </c>
      <c r="CE256" s="4" t="str">
        <f>"2032-2034"</f>
        <v>2032-2034</v>
      </c>
      <c r="CF256" s="4" t="str">
        <f>"1987"</f>
        <v>1987</v>
      </c>
      <c r="CG256" s="4" t="str">
        <f>"43,00"</f>
        <v>43,00</v>
      </c>
      <c r="CH256" s="4" t="str">
        <f>"2032-2034"</f>
        <v>2032-2034</v>
      </c>
      <c r="CI256" s="4" t="str">
        <f>"19,00"</f>
        <v>19,00</v>
      </c>
      <c r="CJ256" s="4" t="str">
        <f>"2032-2034"</f>
        <v>2032-2034</v>
      </c>
    </row>
    <row r="257" spans="1:88" ht="11.25" customHeight="1">
      <c r="A257" s="45" t="str">
        <f>"24.244"</f>
        <v>24.244</v>
      </c>
      <c r="B257" s="46" t="str">
        <f>"д. Гора (Разинское МО), д.53"</f>
        <v>д. Гора (Разинское МО), д.53</v>
      </c>
      <c r="C257" s="6" t="str">
        <f>"1974"</f>
        <v>1974</v>
      </c>
      <c r="D257" s="4" t="str">
        <f>"1974"</f>
        <v>1974</v>
      </c>
      <c r="E257" s="4" t="str">
        <f>"50,00"</f>
        <v>50,00</v>
      </c>
      <c r="F257" s="4" t="str">
        <f>"2026-2028"</f>
        <v>2026-2028</v>
      </c>
      <c r="G257" s="4" t="str">
        <f>"нет"</f>
        <v>нет</v>
      </c>
      <c r="H257" s="4" t="str">
        <f>""</f>
        <v/>
      </c>
      <c r="I257" s="4" t="str">
        <f>""</f>
        <v/>
      </c>
      <c r="J257" s="4" t="str">
        <f>""</f>
        <v/>
      </c>
      <c r="K257" s="4" t="str">
        <f t="shared" si="235"/>
        <v>нет</v>
      </c>
      <c r="L257" s="4" t="str">
        <f>""</f>
        <v/>
      </c>
      <c r="M257" s="4" t="str">
        <f>""</f>
        <v/>
      </c>
      <c r="N257" s="4" t="str">
        <f>""</f>
        <v/>
      </c>
      <c r="O257" s="7" t="str">
        <f>"1987"</f>
        <v>1987</v>
      </c>
      <c r="P257" s="4" t="str">
        <f>"50,00"</f>
        <v>50,00</v>
      </c>
      <c r="Q257" s="4" t="str">
        <f>"2026-2028"</f>
        <v>2026-2028</v>
      </c>
      <c r="R257" s="4" t="str">
        <f>"нет"</f>
        <v>нет</v>
      </c>
      <c r="S257" s="4" t="str">
        <f>""</f>
        <v/>
      </c>
      <c r="T257" s="4" t="str">
        <f>""</f>
        <v/>
      </c>
      <c r="U257" s="4" t="str">
        <f>""</f>
        <v/>
      </c>
      <c r="V257" s="4" t="str">
        <f t="shared" ref="V257:V279" si="284">"нет"</f>
        <v>нет</v>
      </c>
      <c r="W257" s="4" t="str">
        <f>""</f>
        <v/>
      </c>
      <c r="X257" s="4" t="str">
        <f>""</f>
        <v/>
      </c>
      <c r="Y257" s="8" t="str">
        <f>""</f>
        <v/>
      </c>
      <c r="Z257" s="4" t="str">
        <f t="shared" ref="Z257:AJ266" si="285">"х"</f>
        <v>х</v>
      </c>
      <c r="AA257" s="4" t="str">
        <f t="shared" si="285"/>
        <v>х</v>
      </c>
      <c r="AB257" s="4" t="str">
        <f t="shared" si="285"/>
        <v>х</v>
      </c>
      <c r="AC257" s="4" t="str">
        <f t="shared" si="285"/>
        <v>х</v>
      </c>
      <c r="AD257" s="4" t="str">
        <f t="shared" si="285"/>
        <v>х</v>
      </c>
      <c r="AE257" s="4" t="str">
        <f t="shared" si="285"/>
        <v>х</v>
      </c>
      <c r="AF257" s="4" t="str">
        <f t="shared" si="285"/>
        <v>х</v>
      </c>
      <c r="AG257" s="4" t="str">
        <f t="shared" si="285"/>
        <v>х</v>
      </c>
      <c r="AH257" s="4" t="str">
        <f t="shared" si="285"/>
        <v>х</v>
      </c>
      <c r="AI257" s="4" t="str">
        <f t="shared" si="285"/>
        <v>х</v>
      </c>
      <c r="AJ257" s="4" t="str">
        <f t="shared" si="285"/>
        <v>х</v>
      </c>
      <c r="AK257" s="7" t="str">
        <f>"1987"</f>
        <v>1987</v>
      </c>
      <c r="AL257" s="4" t="str">
        <f>"50,00"</f>
        <v>50,00</v>
      </c>
      <c r="AM257" s="4" t="str">
        <f>"2026-2028"</f>
        <v>2026-2028</v>
      </c>
      <c r="AN257" s="4" t="str">
        <f t="shared" si="282"/>
        <v>нет</v>
      </c>
      <c r="AO257" s="4" t="str">
        <f>""</f>
        <v/>
      </c>
      <c r="AP257" s="4" t="str">
        <f>""</f>
        <v/>
      </c>
      <c r="AQ257" s="4" t="str">
        <f>""</f>
        <v/>
      </c>
      <c r="AR257" s="4" t="str">
        <f t="shared" si="279"/>
        <v>нет</v>
      </c>
      <c r="AS257" s="4" t="str">
        <f>""</f>
        <v/>
      </c>
      <c r="AT257" s="4" t="str">
        <f>""</f>
        <v/>
      </c>
      <c r="AU257" s="4" t="str">
        <f>""</f>
        <v/>
      </c>
      <c r="AV257" s="4" t="str">
        <f>""</f>
        <v/>
      </c>
      <c r="AW257" s="4" t="str">
        <f>""</f>
        <v/>
      </c>
      <c r="AX257" s="4" t="str">
        <f>""</f>
        <v/>
      </c>
      <c r="AY257" s="4" t="str">
        <f>""</f>
        <v/>
      </c>
      <c r="AZ257" s="4" t="str">
        <f>""</f>
        <v/>
      </c>
      <c r="BA257" s="4" t="str">
        <f>""</f>
        <v/>
      </c>
      <c r="BB257" s="4" t="str">
        <f>""</f>
        <v/>
      </c>
      <c r="BC257" s="4" t="str">
        <f>""</f>
        <v/>
      </c>
      <c r="BD257" s="4" t="str">
        <f>""</f>
        <v/>
      </c>
      <c r="BE257" s="4" t="str">
        <f>""</f>
        <v/>
      </c>
      <c r="BF257" s="4" t="str">
        <f>""</f>
        <v/>
      </c>
      <c r="BG257" s="4" t="str">
        <f t="shared" ref="BG257:BQ257" si="286">"х"</f>
        <v>х</v>
      </c>
      <c r="BH257" s="4" t="str">
        <f t="shared" si="286"/>
        <v>х</v>
      </c>
      <c r="BI257" s="4" t="str">
        <f t="shared" si="286"/>
        <v>х</v>
      </c>
      <c r="BJ257" s="4" t="str">
        <f t="shared" si="286"/>
        <v>х</v>
      </c>
      <c r="BK257" s="4" t="str">
        <f t="shared" si="286"/>
        <v>х</v>
      </c>
      <c r="BL257" s="4" t="str">
        <f t="shared" si="286"/>
        <v>х</v>
      </c>
      <c r="BM257" s="4" t="str">
        <f t="shared" si="286"/>
        <v>х</v>
      </c>
      <c r="BN257" s="4" t="str">
        <f t="shared" si="286"/>
        <v>х</v>
      </c>
      <c r="BO257" s="4" t="str">
        <f t="shared" si="286"/>
        <v>х</v>
      </c>
      <c r="BP257" s="4" t="str">
        <f t="shared" si="286"/>
        <v>х</v>
      </c>
      <c r="BQ257" s="4" t="str">
        <f t="shared" si="286"/>
        <v>х</v>
      </c>
      <c r="BR257" s="4" t="str">
        <f>"1974"</f>
        <v>1974</v>
      </c>
      <c r="BS257" s="4" t="str">
        <f>"51,00"</f>
        <v>51,00</v>
      </c>
      <c r="BT257" s="4" t="str">
        <f>"2026-2028"</f>
        <v>2026-2028</v>
      </c>
      <c r="BU257" s="4" t="str">
        <f t="shared" si="237"/>
        <v>нет</v>
      </c>
      <c r="BV257" s="4" t="str">
        <f t="shared" si="283"/>
        <v>x</v>
      </c>
      <c r="BW257" s="4" t="str">
        <f t="shared" si="283"/>
        <v>x</v>
      </c>
      <c r="BX257" s="4" t="str">
        <f t="shared" si="283"/>
        <v>x</v>
      </c>
      <c r="BY257" s="4" t="str">
        <f t="shared" ref="BY257:BY265" si="287">"нет"</f>
        <v>нет</v>
      </c>
      <c r="BZ257" s="4" t="str">
        <f t="shared" ref="BZ257:CB265" si="288">"x"</f>
        <v>x</v>
      </c>
      <c r="CA257" s="4" t="str">
        <f t="shared" si="288"/>
        <v>x</v>
      </c>
      <c r="CB257" s="4" t="str">
        <f t="shared" si="288"/>
        <v>x</v>
      </c>
      <c r="CC257" s="4" t="str">
        <f>"1987"</f>
        <v>1987</v>
      </c>
      <c r="CD257" s="4" t="str">
        <f>"51,00"</f>
        <v>51,00</v>
      </c>
      <c r="CE257" s="4" t="str">
        <f>"2026-2028"</f>
        <v>2026-2028</v>
      </c>
      <c r="CF257" s="4" t="str">
        <f>"1987"</f>
        <v>1987</v>
      </c>
      <c r="CG257" s="4" t="str">
        <f>"65,00"</f>
        <v>65,00</v>
      </c>
      <c r="CH257" s="4" t="str">
        <f>"2026-2028"</f>
        <v>2026-2028</v>
      </c>
      <c r="CI257" s="4" t="str">
        <f>"51,00"</f>
        <v>51,00</v>
      </c>
      <c r="CJ257" s="4" t="str">
        <f>"2026-2028"</f>
        <v>2026-2028</v>
      </c>
    </row>
    <row r="258" spans="1:88" ht="11.25" customHeight="1">
      <c r="A258" s="45" t="str">
        <f>"24.245"</f>
        <v>24.245</v>
      </c>
      <c r="B258" s="46" t="str">
        <f>"д. Гора (Разинское МО), д.54"</f>
        <v>д. Гора (Разинское МО), д.54</v>
      </c>
      <c r="C258" s="6" t="str">
        <f>"1978"</f>
        <v>1978</v>
      </c>
      <c r="D258" s="4" t="str">
        <f>"2012"</f>
        <v>2012</v>
      </c>
      <c r="E258" s="4" t="str">
        <f>"5,00"</f>
        <v>5,00</v>
      </c>
      <c r="F258" s="4" t="str">
        <f>"2027-2029"</f>
        <v>2027-2029</v>
      </c>
      <c r="G258" s="4" t="str">
        <f>"нет"</f>
        <v>нет</v>
      </c>
      <c r="H258" s="4" t="str">
        <f>""</f>
        <v/>
      </c>
      <c r="I258" s="4" t="str">
        <f>""</f>
        <v/>
      </c>
      <c r="J258" s="4" t="str">
        <f>""</f>
        <v/>
      </c>
      <c r="K258" s="4" t="str">
        <f t="shared" si="235"/>
        <v>нет</v>
      </c>
      <c r="L258" s="4" t="str">
        <f>""</f>
        <v/>
      </c>
      <c r="M258" s="4" t="str">
        <f>""</f>
        <v/>
      </c>
      <c r="N258" s="4" t="str">
        <f>""</f>
        <v/>
      </c>
      <c r="O258" s="7" t="str">
        <f>"1978"</f>
        <v>1978</v>
      </c>
      <c r="P258" s="4" t="str">
        <f>"25,00"</f>
        <v>25,00</v>
      </c>
      <c r="Q258" s="4" t="str">
        <f>"2027-2029"</f>
        <v>2027-2029</v>
      </c>
      <c r="R258" s="4" t="str">
        <f>"нет"</f>
        <v>нет</v>
      </c>
      <c r="S258" s="4" t="str">
        <f>""</f>
        <v/>
      </c>
      <c r="T258" s="4" t="str">
        <f>""</f>
        <v/>
      </c>
      <c r="U258" s="4" t="str">
        <f>""</f>
        <v/>
      </c>
      <c r="V258" s="4" t="str">
        <f t="shared" si="284"/>
        <v>нет</v>
      </c>
      <c r="W258" s="4" t="str">
        <f>""</f>
        <v/>
      </c>
      <c r="X258" s="4" t="str">
        <f>""</f>
        <v/>
      </c>
      <c r="Y258" s="8" t="str">
        <f>""</f>
        <v/>
      </c>
      <c r="Z258" s="4" t="str">
        <f t="shared" si="285"/>
        <v>х</v>
      </c>
      <c r="AA258" s="4" t="str">
        <f t="shared" si="285"/>
        <v>х</v>
      </c>
      <c r="AB258" s="4" t="str">
        <f t="shared" si="285"/>
        <v>х</v>
      </c>
      <c r="AC258" s="4" t="str">
        <f t="shared" si="285"/>
        <v>х</v>
      </c>
      <c r="AD258" s="4" t="str">
        <f t="shared" si="285"/>
        <v>х</v>
      </c>
      <c r="AE258" s="4" t="str">
        <f t="shared" si="285"/>
        <v>х</v>
      </c>
      <c r="AF258" s="4" t="str">
        <f t="shared" si="285"/>
        <v>х</v>
      </c>
      <c r="AG258" s="4" t="str">
        <f t="shared" si="285"/>
        <v>х</v>
      </c>
      <c r="AH258" s="4" t="str">
        <f t="shared" si="285"/>
        <v>х</v>
      </c>
      <c r="AI258" s="4" t="str">
        <f t="shared" si="285"/>
        <v>х</v>
      </c>
      <c r="AJ258" s="4" t="str">
        <f t="shared" si="285"/>
        <v>х</v>
      </c>
      <c r="AK258" s="7" t="str">
        <f>"2005"</f>
        <v>2005</v>
      </c>
      <c r="AL258" s="4" t="str">
        <f>"27,00"</f>
        <v>27,00</v>
      </c>
      <c r="AM258" s="4" t="str">
        <f>"2027-2029"</f>
        <v>2027-2029</v>
      </c>
      <c r="AN258" s="4" t="str">
        <f t="shared" si="282"/>
        <v>нет</v>
      </c>
      <c r="AO258" s="4" t="str">
        <f>""</f>
        <v/>
      </c>
      <c r="AP258" s="4" t="str">
        <f>""</f>
        <v/>
      </c>
      <c r="AQ258" s="4" t="str">
        <f>""</f>
        <v/>
      </c>
      <c r="AR258" s="4" t="str">
        <f t="shared" si="279"/>
        <v>нет</v>
      </c>
      <c r="AS258" s="4" t="str">
        <f>""</f>
        <v/>
      </c>
      <c r="AT258" s="4" t="str">
        <f>""</f>
        <v/>
      </c>
      <c r="AU258" s="4" t="str">
        <f>""</f>
        <v/>
      </c>
      <c r="AV258" s="4" t="str">
        <f>""</f>
        <v/>
      </c>
      <c r="AW258" s="4" t="str">
        <f>""</f>
        <v/>
      </c>
      <c r="AX258" s="4" t="str">
        <f>""</f>
        <v/>
      </c>
      <c r="AY258" s="4" t="str">
        <f>""</f>
        <v/>
      </c>
      <c r="AZ258" s="4" t="str">
        <f>""</f>
        <v/>
      </c>
      <c r="BA258" s="4" t="str">
        <f>""</f>
        <v/>
      </c>
      <c r="BB258" s="4" t="str">
        <f>""</f>
        <v/>
      </c>
      <c r="BC258" s="4" t="str">
        <f>""</f>
        <v/>
      </c>
      <c r="BD258" s="4" t="str">
        <f>""</f>
        <v/>
      </c>
      <c r="BE258" s="4" t="str">
        <f>""</f>
        <v/>
      </c>
      <c r="BF258" s="4" t="str">
        <f>""</f>
        <v/>
      </c>
      <c r="BG258" s="4" t="str">
        <f>"1978"</f>
        <v>1978</v>
      </c>
      <c r="BH258" s="4" t="str">
        <f>"25,00"</f>
        <v>25,00</v>
      </c>
      <c r="BI258" s="4" t="str">
        <f>"2027-2029"</f>
        <v>2027-2029</v>
      </c>
      <c r="BJ258" s="4" t="str">
        <f t="shared" ref="BJ258:BJ263" si="289">"нет"</f>
        <v>нет</v>
      </c>
      <c r="BK258" s="4" t="str">
        <f>""</f>
        <v/>
      </c>
      <c r="BL258" s="4" t="str">
        <f>""</f>
        <v/>
      </c>
      <c r="BM258" s="4" t="str">
        <f>""</f>
        <v/>
      </c>
      <c r="BN258" s="4" t="str">
        <f t="shared" ref="BN258:BN263" si="290">"нет"</f>
        <v>нет</v>
      </c>
      <c r="BO258" s="4" t="str">
        <f>""</f>
        <v/>
      </c>
      <c r="BP258" s="4" t="str">
        <f>""</f>
        <v/>
      </c>
      <c r="BQ258" s="4" t="str">
        <f>""</f>
        <v/>
      </c>
      <c r="BR258" s="4" t="str">
        <f>"2013"</f>
        <v>2013</v>
      </c>
      <c r="BS258" s="4" t="str">
        <f>"5,00"</f>
        <v>5,00</v>
      </c>
      <c r="BT258" s="4" t="str">
        <f>"2027-2029"</f>
        <v>2027-2029</v>
      </c>
      <c r="BU258" s="4" t="str">
        <f t="shared" si="237"/>
        <v>нет</v>
      </c>
      <c r="BV258" s="4" t="str">
        <f t="shared" si="283"/>
        <v>x</v>
      </c>
      <c r="BW258" s="4" t="str">
        <f t="shared" si="283"/>
        <v>x</v>
      </c>
      <c r="BX258" s="4" t="str">
        <f t="shared" si="283"/>
        <v>x</v>
      </c>
      <c r="BY258" s="4" t="str">
        <f t="shared" si="287"/>
        <v>нет</v>
      </c>
      <c r="BZ258" s="4" t="str">
        <f t="shared" si="288"/>
        <v>x</v>
      </c>
      <c r="CA258" s="4" t="str">
        <f t="shared" si="288"/>
        <v>x</v>
      </c>
      <c r="CB258" s="4" t="str">
        <f t="shared" si="288"/>
        <v>x</v>
      </c>
      <c r="CC258" s="4" t="str">
        <f>"1978"</f>
        <v>1978</v>
      </c>
      <c r="CD258" s="4" t="str">
        <f>"50,00"</f>
        <v>50,00</v>
      </c>
      <c r="CE258" s="4" t="str">
        <f>"2027-2029"</f>
        <v>2027-2029</v>
      </c>
      <c r="CF258" s="4" t="str">
        <f>"1978"</f>
        <v>1978</v>
      </c>
      <c r="CG258" s="4" t="str">
        <f>"58,00"</f>
        <v>58,00</v>
      </c>
      <c r="CH258" s="4" t="str">
        <f>"2027-2029"</f>
        <v>2027-2029</v>
      </c>
      <c r="CI258" s="4" t="str">
        <f>"27,00"</f>
        <v>27,00</v>
      </c>
      <c r="CJ258" s="4" t="str">
        <f>"2027-2029"</f>
        <v>2027-2029</v>
      </c>
    </row>
    <row r="259" spans="1:88" ht="11.25" customHeight="1">
      <c r="A259" s="45" t="str">
        <f>"24.246"</f>
        <v>24.246</v>
      </c>
      <c r="B259" s="46" t="str">
        <f>"д. Семениха, д.1"</f>
        <v>д. Семениха, д.1</v>
      </c>
      <c r="C259" s="6" t="str">
        <f>"1989"</f>
        <v>1989</v>
      </c>
      <c r="D259" s="4" t="str">
        <f>"1989"</f>
        <v>1989</v>
      </c>
      <c r="E259" s="4" t="str">
        <f>"35,00"</f>
        <v>35,00</v>
      </c>
      <c r="F259" s="4" t="str">
        <f>"2033-2035"</f>
        <v>2033-2035</v>
      </c>
      <c r="G259" s="4" t="str">
        <f>"да"</f>
        <v>да</v>
      </c>
      <c r="H259" s="4" t="str">
        <f>"2013"</f>
        <v>2013</v>
      </c>
      <c r="I259" s="4" t="str">
        <f>"1,00"</f>
        <v>1,00</v>
      </c>
      <c r="J259" s="4" t="str">
        <f>"2033-2035"</f>
        <v>2033-2035</v>
      </c>
      <c r="K259" s="4" t="str">
        <f t="shared" si="235"/>
        <v>нет</v>
      </c>
      <c r="L259" s="4" t="str">
        <f>""</f>
        <v/>
      </c>
      <c r="M259" s="4" t="str">
        <f>""</f>
        <v/>
      </c>
      <c r="N259" s="4" t="str">
        <f>""</f>
        <v/>
      </c>
      <c r="O259" s="7" t="str">
        <f>"1989"</f>
        <v>1989</v>
      </c>
      <c r="P259" s="4" t="str">
        <f>"35,00"</f>
        <v>35,00</v>
      </c>
      <c r="Q259" s="4" t="str">
        <f>"2033-2035"</f>
        <v>2033-2035</v>
      </c>
      <c r="R259" s="4" t="str">
        <f>"да"</f>
        <v>да</v>
      </c>
      <c r="S259" s="4" t="str">
        <f>"2011"</f>
        <v>2011</v>
      </c>
      <c r="T259" s="4" t="str">
        <f>"20,00"</f>
        <v>20,00</v>
      </c>
      <c r="U259" s="4" t="str">
        <f>"2033-2035"</f>
        <v>2033-2035</v>
      </c>
      <c r="V259" s="4" t="str">
        <f t="shared" si="284"/>
        <v>нет</v>
      </c>
      <c r="W259" s="4" t="str">
        <f>""</f>
        <v/>
      </c>
      <c r="X259" s="4" t="str">
        <f>""</f>
        <v/>
      </c>
      <c r="Y259" s="8" t="str">
        <f>""</f>
        <v/>
      </c>
      <c r="Z259" s="4" t="str">
        <f t="shared" si="285"/>
        <v>х</v>
      </c>
      <c r="AA259" s="4" t="str">
        <f t="shared" si="285"/>
        <v>х</v>
      </c>
      <c r="AB259" s="4" t="str">
        <f t="shared" si="285"/>
        <v>х</v>
      </c>
      <c r="AC259" s="4" t="str">
        <f t="shared" si="285"/>
        <v>х</v>
      </c>
      <c r="AD259" s="4" t="str">
        <f t="shared" si="285"/>
        <v>х</v>
      </c>
      <c r="AE259" s="4" t="str">
        <f t="shared" si="285"/>
        <v>х</v>
      </c>
      <c r="AF259" s="4" t="str">
        <f t="shared" si="285"/>
        <v>х</v>
      </c>
      <c r="AG259" s="4" t="str">
        <f t="shared" si="285"/>
        <v>х</v>
      </c>
      <c r="AH259" s="4" t="str">
        <f t="shared" si="285"/>
        <v>х</v>
      </c>
      <c r="AI259" s="4" t="str">
        <f t="shared" si="285"/>
        <v>х</v>
      </c>
      <c r="AJ259" s="4" t="str">
        <f t="shared" si="285"/>
        <v>х</v>
      </c>
      <c r="AK259" s="7" t="str">
        <f>"1989"</f>
        <v>1989</v>
      </c>
      <c r="AL259" s="4" t="str">
        <f>"35,00"</f>
        <v>35,00</v>
      </c>
      <c r="AM259" s="4" t="str">
        <f>"2033-2035"</f>
        <v>2033-2035</v>
      </c>
      <c r="AN259" s="4" t="str">
        <f t="shared" si="282"/>
        <v>нет</v>
      </c>
      <c r="AO259" s="4" t="str">
        <f>""</f>
        <v/>
      </c>
      <c r="AP259" s="4" t="str">
        <f>""</f>
        <v/>
      </c>
      <c r="AQ259" s="4" t="str">
        <f>""</f>
        <v/>
      </c>
      <c r="AR259" s="4" t="str">
        <f t="shared" si="279"/>
        <v>нет</v>
      </c>
      <c r="AS259" s="4" t="str">
        <f>""</f>
        <v/>
      </c>
      <c r="AT259" s="4" t="str">
        <f>""</f>
        <v/>
      </c>
      <c r="AU259" s="4" t="str">
        <f>""</f>
        <v/>
      </c>
      <c r="AV259" s="4" t="str">
        <f>""</f>
        <v/>
      </c>
      <c r="AW259" s="4" t="str">
        <f>""</f>
        <v/>
      </c>
      <c r="AX259" s="4" t="str">
        <f>""</f>
        <v/>
      </c>
      <c r="AY259" s="4" t="str">
        <f>""</f>
        <v/>
      </c>
      <c r="AZ259" s="4" t="str">
        <f>""</f>
        <v/>
      </c>
      <c r="BA259" s="4" t="str">
        <f>""</f>
        <v/>
      </c>
      <c r="BB259" s="4" t="str">
        <f>""</f>
        <v/>
      </c>
      <c r="BC259" s="4" t="str">
        <f>""</f>
        <v/>
      </c>
      <c r="BD259" s="4" t="str">
        <f>""</f>
        <v/>
      </c>
      <c r="BE259" s="4" t="str">
        <f>""</f>
        <v/>
      </c>
      <c r="BF259" s="4" t="str">
        <f>""</f>
        <v/>
      </c>
      <c r="BG259" s="4" t="str">
        <f>"1989"</f>
        <v>1989</v>
      </c>
      <c r="BH259" s="4" t="str">
        <f>"35,00"</f>
        <v>35,00</v>
      </c>
      <c r="BI259" s="4" t="str">
        <f>"2033-2035"</f>
        <v>2033-2035</v>
      </c>
      <c r="BJ259" s="4" t="str">
        <f t="shared" si="289"/>
        <v>нет</v>
      </c>
      <c r="BK259" s="4" t="str">
        <f>""</f>
        <v/>
      </c>
      <c r="BL259" s="4" t="str">
        <f>""</f>
        <v/>
      </c>
      <c r="BM259" s="4" t="str">
        <f>""</f>
        <v/>
      </c>
      <c r="BN259" s="4" t="str">
        <f t="shared" si="290"/>
        <v>нет</v>
      </c>
      <c r="BO259" s="4" t="str">
        <f>""</f>
        <v/>
      </c>
      <c r="BP259" s="4" t="str">
        <f>""</f>
        <v/>
      </c>
      <c r="BQ259" s="4" t="str">
        <f>""</f>
        <v/>
      </c>
      <c r="BR259" s="4" t="str">
        <f>"1989"</f>
        <v>1989</v>
      </c>
      <c r="BS259" s="4" t="str">
        <f>"35,00"</f>
        <v>35,00</v>
      </c>
      <c r="BT259" s="4" t="str">
        <f>"2033-2035"</f>
        <v>2033-2035</v>
      </c>
      <c r="BU259" s="4" t="str">
        <f t="shared" si="237"/>
        <v>нет</v>
      </c>
      <c r="BV259" s="4" t="str">
        <f t="shared" si="283"/>
        <v>x</v>
      </c>
      <c r="BW259" s="4" t="str">
        <f t="shared" si="283"/>
        <v>x</v>
      </c>
      <c r="BX259" s="4" t="str">
        <f t="shared" si="283"/>
        <v>x</v>
      </c>
      <c r="BY259" s="4" t="str">
        <f t="shared" si="287"/>
        <v>нет</v>
      </c>
      <c r="BZ259" s="4" t="str">
        <f t="shared" si="288"/>
        <v>x</v>
      </c>
      <c r="CA259" s="4" t="str">
        <f t="shared" si="288"/>
        <v>x</v>
      </c>
      <c r="CB259" s="4" t="str">
        <f t="shared" si="288"/>
        <v>x</v>
      </c>
      <c r="CC259" s="4" t="str">
        <f>"1989"</f>
        <v>1989</v>
      </c>
      <c r="CD259" s="4" t="str">
        <f>"25,00"</f>
        <v>25,00</v>
      </c>
      <c r="CE259" s="4" t="str">
        <f>"2033-2035"</f>
        <v>2033-2035</v>
      </c>
      <c r="CF259" s="4" t="str">
        <f>"1989"</f>
        <v>1989</v>
      </c>
      <c r="CG259" s="4" t="str">
        <f>"20,00"</f>
        <v>20,00</v>
      </c>
      <c r="CH259" s="4" t="str">
        <f>"2033-2035"</f>
        <v>2033-2035</v>
      </c>
      <c r="CI259" s="4" t="str">
        <f>"29,00"</f>
        <v>29,00</v>
      </c>
      <c r="CJ259" s="4" t="str">
        <f>"2033-2035"</f>
        <v>2033-2035</v>
      </c>
    </row>
    <row r="260" spans="1:88" ht="11.25" customHeight="1">
      <c r="A260" s="45" t="str">
        <f>"24.247"</f>
        <v>24.247</v>
      </c>
      <c r="B260" s="46" t="str">
        <f>"д. Семениха, д.2"</f>
        <v>д. Семениха, д.2</v>
      </c>
      <c r="C260" s="6" t="str">
        <f>"1990"</f>
        <v>1990</v>
      </c>
      <c r="D260" s="4" t="str">
        <f>"1990"</f>
        <v>1990</v>
      </c>
      <c r="E260" s="4" t="str">
        <f>"35,00"</f>
        <v>35,00</v>
      </c>
      <c r="F260" s="4" t="str">
        <f>"2034-2036"</f>
        <v>2034-2036</v>
      </c>
      <c r="G260" s="4" t="str">
        <f>"да"</f>
        <v>да</v>
      </c>
      <c r="H260" s="4" t="str">
        <f>"2013"</f>
        <v>2013</v>
      </c>
      <c r="I260" s="4" t="str">
        <f>"1,00"</f>
        <v>1,00</v>
      </c>
      <c r="J260" s="4" t="str">
        <f>"2034-2036"</f>
        <v>2034-2036</v>
      </c>
      <c r="K260" s="4" t="str">
        <f t="shared" si="235"/>
        <v>нет</v>
      </c>
      <c r="L260" s="4" t="str">
        <f>""</f>
        <v/>
      </c>
      <c r="M260" s="4" t="str">
        <f>""</f>
        <v/>
      </c>
      <c r="N260" s="4" t="str">
        <f>""</f>
        <v/>
      </c>
      <c r="O260" s="7" t="str">
        <f>"1990"</f>
        <v>1990</v>
      </c>
      <c r="P260" s="4" t="str">
        <f>"35,00"</f>
        <v>35,00</v>
      </c>
      <c r="Q260" s="4" t="str">
        <f>"2034-2036"</f>
        <v>2034-2036</v>
      </c>
      <c r="R260" s="4" t="str">
        <f>"да"</f>
        <v>да</v>
      </c>
      <c r="S260" s="4" t="str">
        <f>"2011"</f>
        <v>2011</v>
      </c>
      <c r="T260" s="4" t="str">
        <f>"20,00"</f>
        <v>20,00</v>
      </c>
      <c r="U260" s="4" t="str">
        <f>"2034-2036"</f>
        <v>2034-2036</v>
      </c>
      <c r="V260" s="4" t="str">
        <f t="shared" si="284"/>
        <v>нет</v>
      </c>
      <c r="W260" s="4" t="str">
        <f>""</f>
        <v/>
      </c>
      <c r="X260" s="4" t="str">
        <f>""</f>
        <v/>
      </c>
      <c r="Y260" s="8" t="str">
        <f>""</f>
        <v/>
      </c>
      <c r="Z260" s="4" t="str">
        <f t="shared" si="285"/>
        <v>х</v>
      </c>
      <c r="AA260" s="4" t="str">
        <f t="shared" si="285"/>
        <v>х</v>
      </c>
      <c r="AB260" s="4" t="str">
        <f t="shared" si="285"/>
        <v>х</v>
      </c>
      <c r="AC260" s="4" t="str">
        <f t="shared" si="285"/>
        <v>х</v>
      </c>
      <c r="AD260" s="4" t="str">
        <f t="shared" si="285"/>
        <v>х</v>
      </c>
      <c r="AE260" s="4" t="str">
        <f t="shared" si="285"/>
        <v>х</v>
      </c>
      <c r="AF260" s="4" t="str">
        <f t="shared" si="285"/>
        <v>х</v>
      </c>
      <c r="AG260" s="4" t="str">
        <f t="shared" si="285"/>
        <v>х</v>
      </c>
      <c r="AH260" s="4" t="str">
        <f t="shared" si="285"/>
        <v>х</v>
      </c>
      <c r="AI260" s="4" t="str">
        <f t="shared" si="285"/>
        <v>х</v>
      </c>
      <c r="AJ260" s="4" t="str">
        <f t="shared" si="285"/>
        <v>х</v>
      </c>
      <c r="AK260" s="7" t="str">
        <f>"1990"</f>
        <v>1990</v>
      </c>
      <c r="AL260" s="4" t="str">
        <f>"35,00"</f>
        <v>35,00</v>
      </c>
      <c r="AM260" s="4" t="str">
        <f>"2034-2036"</f>
        <v>2034-2036</v>
      </c>
      <c r="AN260" s="4" t="str">
        <f t="shared" si="282"/>
        <v>нет</v>
      </c>
      <c r="AO260" s="4" t="str">
        <f>""</f>
        <v/>
      </c>
      <c r="AP260" s="4" t="str">
        <f>""</f>
        <v/>
      </c>
      <c r="AQ260" s="4" t="str">
        <f>""</f>
        <v/>
      </c>
      <c r="AR260" s="4" t="str">
        <f t="shared" si="279"/>
        <v>нет</v>
      </c>
      <c r="AS260" s="4" t="str">
        <f>""</f>
        <v/>
      </c>
      <c r="AT260" s="4" t="str">
        <f>""</f>
        <v/>
      </c>
      <c r="AU260" s="4" t="str">
        <f>""</f>
        <v/>
      </c>
      <c r="AV260" s="4" t="str">
        <f>""</f>
        <v/>
      </c>
      <c r="AW260" s="4" t="str">
        <f>""</f>
        <v/>
      </c>
      <c r="AX260" s="4" t="str">
        <f>""</f>
        <v/>
      </c>
      <c r="AY260" s="4" t="str">
        <f>""</f>
        <v/>
      </c>
      <c r="AZ260" s="4" t="str">
        <f>""</f>
        <v/>
      </c>
      <c r="BA260" s="4" t="str">
        <f>""</f>
        <v/>
      </c>
      <c r="BB260" s="4" t="str">
        <f>""</f>
        <v/>
      </c>
      <c r="BC260" s="4" t="str">
        <f>""</f>
        <v/>
      </c>
      <c r="BD260" s="4" t="str">
        <f>""</f>
        <v/>
      </c>
      <c r="BE260" s="4" t="str">
        <f>""</f>
        <v/>
      </c>
      <c r="BF260" s="4" t="str">
        <f>""</f>
        <v/>
      </c>
      <c r="BG260" s="4" t="str">
        <f>"1990"</f>
        <v>1990</v>
      </c>
      <c r="BH260" s="4" t="str">
        <f>"35,00"</f>
        <v>35,00</v>
      </c>
      <c r="BI260" s="4" t="str">
        <f>"2034-2036"</f>
        <v>2034-2036</v>
      </c>
      <c r="BJ260" s="4" t="str">
        <f t="shared" si="289"/>
        <v>нет</v>
      </c>
      <c r="BK260" s="4" t="str">
        <f>""</f>
        <v/>
      </c>
      <c r="BL260" s="4" t="str">
        <f>""</f>
        <v/>
      </c>
      <c r="BM260" s="4" t="str">
        <f>""</f>
        <v/>
      </c>
      <c r="BN260" s="4" t="str">
        <f t="shared" si="290"/>
        <v>нет</v>
      </c>
      <c r="BO260" s="4" t="str">
        <f>""</f>
        <v/>
      </c>
      <c r="BP260" s="4" t="str">
        <f>""</f>
        <v/>
      </c>
      <c r="BQ260" s="4" t="str">
        <f>""</f>
        <v/>
      </c>
      <c r="BR260" s="4" t="str">
        <f>"1990"</f>
        <v>1990</v>
      </c>
      <c r="BS260" s="4" t="str">
        <f>"20,00"</f>
        <v>20,00</v>
      </c>
      <c r="BT260" s="4" t="str">
        <f>"2034-2036"</f>
        <v>2034-2036</v>
      </c>
      <c r="BU260" s="4" t="str">
        <f t="shared" si="237"/>
        <v>нет</v>
      </c>
      <c r="BV260" s="4" t="str">
        <f t="shared" si="283"/>
        <v>x</v>
      </c>
      <c r="BW260" s="4" t="str">
        <f t="shared" si="283"/>
        <v>x</v>
      </c>
      <c r="BX260" s="4" t="str">
        <f t="shared" si="283"/>
        <v>x</v>
      </c>
      <c r="BY260" s="4" t="str">
        <f t="shared" si="287"/>
        <v>нет</v>
      </c>
      <c r="BZ260" s="4" t="str">
        <f t="shared" si="288"/>
        <v>x</v>
      </c>
      <c r="CA260" s="4" t="str">
        <f t="shared" si="288"/>
        <v>x</v>
      </c>
      <c r="CB260" s="4" t="str">
        <f t="shared" si="288"/>
        <v>x</v>
      </c>
      <c r="CC260" s="4" t="str">
        <f>"1990"</f>
        <v>1990</v>
      </c>
      <c r="CD260" s="4" t="str">
        <f>"15,00"</f>
        <v>15,00</v>
      </c>
      <c r="CE260" s="4" t="str">
        <f>"2034-2036"</f>
        <v>2034-2036</v>
      </c>
      <c r="CF260" s="4" t="str">
        <f>"1990"</f>
        <v>1990</v>
      </c>
      <c r="CG260" s="4" t="str">
        <f>"10,00"</f>
        <v>10,00</v>
      </c>
      <c r="CH260" s="4" t="str">
        <f>"2034-2036"</f>
        <v>2034-2036</v>
      </c>
      <c r="CI260" s="4" t="str">
        <f>"19,00"</f>
        <v>19,00</v>
      </c>
      <c r="CJ260" s="4" t="str">
        <f>"2034-2036"</f>
        <v>2034-2036</v>
      </c>
    </row>
    <row r="261" spans="1:88" ht="11.25" customHeight="1">
      <c r="A261" s="45" t="str">
        <f>"24.248"</f>
        <v>24.248</v>
      </c>
      <c r="B261" s="46" t="str">
        <f>"д. Сорожино, д.32"</f>
        <v>д. Сорожино, д.32</v>
      </c>
      <c r="C261" s="6" t="str">
        <f>"1987"</f>
        <v>1987</v>
      </c>
      <c r="D261" s="4" t="str">
        <f>"1987"</f>
        <v>1987</v>
      </c>
      <c r="E261" s="4" t="str">
        <f>"35,00"</f>
        <v>35,00</v>
      </c>
      <c r="F261" s="4" t="str">
        <f>"2032-2034"</f>
        <v>2032-2034</v>
      </c>
      <c r="G261" s="4" t="str">
        <f>"да"</f>
        <v>да</v>
      </c>
      <c r="H261" s="4" t="str">
        <f>"2011"</f>
        <v>2011</v>
      </c>
      <c r="I261" s="4" t="str">
        <f>"20,00"</f>
        <v>20,00</v>
      </c>
      <c r="J261" s="4" t="str">
        <f>"2032-2034"</f>
        <v>2032-2034</v>
      </c>
      <c r="K261" s="4" t="str">
        <f t="shared" si="235"/>
        <v>нет</v>
      </c>
      <c r="L261" s="4" t="str">
        <f>""</f>
        <v/>
      </c>
      <c r="M261" s="4" t="str">
        <f>""</f>
        <v/>
      </c>
      <c r="N261" s="4" t="str">
        <f>""</f>
        <v/>
      </c>
      <c r="O261" s="7" t="str">
        <f>"1987"</f>
        <v>1987</v>
      </c>
      <c r="P261" s="4" t="str">
        <f>"35,00"</f>
        <v>35,00</v>
      </c>
      <c r="Q261" s="4" t="str">
        <f>"2032-2034"</f>
        <v>2032-2034</v>
      </c>
      <c r="R261" s="4" t="str">
        <f t="shared" ref="R261:R267" si="291">"нет"</f>
        <v>нет</v>
      </c>
      <c r="S261" s="4" t="str">
        <f>""</f>
        <v/>
      </c>
      <c r="T261" s="4" t="str">
        <f>""</f>
        <v/>
      </c>
      <c r="U261" s="4" t="str">
        <f>""</f>
        <v/>
      </c>
      <c r="V261" s="4" t="str">
        <f t="shared" si="284"/>
        <v>нет</v>
      </c>
      <c r="W261" s="4" t="str">
        <f>""</f>
        <v/>
      </c>
      <c r="X261" s="4" t="str">
        <f>""</f>
        <v/>
      </c>
      <c r="Y261" s="8" t="str">
        <f>""</f>
        <v/>
      </c>
      <c r="Z261" s="4" t="str">
        <f t="shared" si="285"/>
        <v>х</v>
      </c>
      <c r="AA261" s="4" t="str">
        <f t="shared" si="285"/>
        <v>х</v>
      </c>
      <c r="AB261" s="4" t="str">
        <f t="shared" si="285"/>
        <v>х</v>
      </c>
      <c r="AC261" s="4" t="str">
        <f t="shared" si="285"/>
        <v>х</v>
      </c>
      <c r="AD261" s="4" t="str">
        <f t="shared" si="285"/>
        <v>х</v>
      </c>
      <c r="AE261" s="4" t="str">
        <f t="shared" si="285"/>
        <v>х</v>
      </c>
      <c r="AF261" s="4" t="str">
        <f t="shared" si="285"/>
        <v>х</v>
      </c>
      <c r="AG261" s="4" t="str">
        <f t="shared" si="285"/>
        <v>х</v>
      </c>
      <c r="AH261" s="4" t="str">
        <f t="shared" si="285"/>
        <v>х</v>
      </c>
      <c r="AI261" s="4" t="str">
        <f t="shared" si="285"/>
        <v>х</v>
      </c>
      <c r="AJ261" s="4" t="str">
        <f t="shared" si="285"/>
        <v>х</v>
      </c>
      <c r="AK261" s="7" t="str">
        <f>"1987"</f>
        <v>1987</v>
      </c>
      <c r="AL261" s="4" t="str">
        <f>"35,00"</f>
        <v>35,00</v>
      </c>
      <c r="AM261" s="4" t="str">
        <f>"2032-2034"</f>
        <v>2032-2034</v>
      </c>
      <c r="AN261" s="4" t="str">
        <f t="shared" si="282"/>
        <v>нет</v>
      </c>
      <c r="AO261" s="4" t="str">
        <f>""</f>
        <v/>
      </c>
      <c r="AP261" s="4" t="str">
        <f>""</f>
        <v/>
      </c>
      <c r="AQ261" s="4" t="str">
        <f>""</f>
        <v/>
      </c>
      <c r="AR261" s="4" t="str">
        <f t="shared" si="279"/>
        <v>нет</v>
      </c>
      <c r="AS261" s="4" t="str">
        <f>""</f>
        <v/>
      </c>
      <c r="AT261" s="4" t="str">
        <f>""</f>
        <v/>
      </c>
      <c r="AU261" s="4" t="str">
        <f>""</f>
        <v/>
      </c>
      <c r="AV261" s="4" t="str">
        <f>""</f>
        <v/>
      </c>
      <c r="AW261" s="4" t="str">
        <f>""</f>
        <v/>
      </c>
      <c r="AX261" s="4" t="str">
        <f>""</f>
        <v/>
      </c>
      <c r="AY261" s="4" t="str">
        <f>""</f>
        <v/>
      </c>
      <c r="AZ261" s="4" t="str">
        <f>""</f>
        <v/>
      </c>
      <c r="BA261" s="4" t="str">
        <f>""</f>
        <v/>
      </c>
      <c r="BB261" s="4" t="str">
        <f>""</f>
        <v/>
      </c>
      <c r="BC261" s="4" t="str">
        <f>""</f>
        <v/>
      </c>
      <c r="BD261" s="4" t="str">
        <f>""</f>
        <v/>
      </c>
      <c r="BE261" s="4" t="str">
        <f>""</f>
        <v/>
      </c>
      <c r="BF261" s="4" t="str">
        <f>""</f>
        <v/>
      </c>
      <c r="BG261" s="4" t="str">
        <f>"1987"</f>
        <v>1987</v>
      </c>
      <c r="BH261" s="4" t="str">
        <f>"35,00"</f>
        <v>35,00</v>
      </c>
      <c r="BI261" s="4" t="str">
        <f>"2032-2034"</f>
        <v>2032-2034</v>
      </c>
      <c r="BJ261" s="4" t="str">
        <f t="shared" si="289"/>
        <v>нет</v>
      </c>
      <c r="BK261" s="4" t="str">
        <f>""</f>
        <v/>
      </c>
      <c r="BL261" s="4" t="str">
        <f>""</f>
        <v/>
      </c>
      <c r="BM261" s="4" t="str">
        <f>""</f>
        <v/>
      </c>
      <c r="BN261" s="4" t="str">
        <f t="shared" si="290"/>
        <v>нет</v>
      </c>
      <c r="BO261" s="4" t="str">
        <f>""</f>
        <v/>
      </c>
      <c r="BP261" s="4" t="str">
        <f>""</f>
        <v/>
      </c>
      <c r="BQ261" s="4" t="str">
        <f>""</f>
        <v/>
      </c>
      <c r="BR261" s="4" t="str">
        <f>"1987"</f>
        <v>1987</v>
      </c>
      <c r="BS261" s="4" t="str">
        <f>"35,00"</f>
        <v>35,00</v>
      </c>
      <c r="BT261" s="4" t="str">
        <f>"2032-2034"</f>
        <v>2032-2034</v>
      </c>
      <c r="BU261" s="4" t="str">
        <f t="shared" si="237"/>
        <v>нет</v>
      </c>
      <c r="BV261" s="4" t="str">
        <f t="shared" si="283"/>
        <v>x</v>
      </c>
      <c r="BW261" s="4" t="str">
        <f t="shared" si="283"/>
        <v>x</v>
      </c>
      <c r="BX261" s="4" t="str">
        <f t="shared" si="283"/>
        <v>x</v>
      </c>
      <c r="BY261" s="4" t="str">
        <f t="shared" si="287"/>
        <v>нет</v>
      </c>
      <c r="BZ261" s="4" t="str">
        <f t="shared" si="288"/>
        <v>x</v>
      </c>
      <c r="CA261" s="4" t="str">
        <f t="shared" si="288"/>
        <v>x</v>
      </c>
      <c r="CB261" s="4" t="str">
        <f t="shared" si="288"/>
        <v>x</v>
      </c>
      <c r="CC261" s="4" t="str">
        <f>"1987"</f>
        <v>1987</v>
      </c>
      <c r="CD261" s="4" t="str">
        <f>"30,00"</f>
        <v>30,00</v>
      </c>
      <c r="CE261" s="4" t="str">
        <f>"2032-2034"</f>
        <v>2032-2034</v>
      </c>
      <c r="CF261" s="4" t="str">
        <f>""</f>
        <v/>
      </c>
      <c r="CG261" s="4" t="str">
        <f>"25,00"</f>
        <v>25,00</v>
      </c>
      <c r="CH261" s="4" t="str">
        <f>"2032-2034"</f>
        <v>2032-2034</v>
      </c>
      <c r="CI261" s="4" t="str">
        <f>"33,00"</f>
        <v>33,00</v>
      </c>
      <c r="CJ261" s="4" t="str">
        <f>"2032-2034"</f>
        <v>2032-2034</v>
      </c>
    </row>
    <row r="262" spans="1:88" ht="11.25" customHeight="1">
      <c r="A262" s="45" t="str">
        <f>"24.249"</f>
        <v>24.249</v>
      </c>
      <c r="B262" s="46" t="str">
        <f>"д. Сорожино, д.66"</f>
        <v>д. Сорожино, д.66</v>
      </c>
      <c r="C262" s="6" t="str">
        <f>"1987"</f>
        <v>1987</v>
      </c>
      <c r="D262" s="4" t="str">
        <f>"1987"</f>
        <v>1987</v>
      </c>
      <c r="E262" s="4" t="str">
        <f>"30,00"</f>
        <v>30,00</v>
      </c>
      <c r="F262" s="4" t="str">
        <f>"2032-2034"</f>
        <v>2032-2034</v>
      </c>
      <c r="G262" s="4" t="str">
        <f>"да"</f>
        <v>да</v>
      </c>
      <c r="H262" s="4" t="str">
        <f>"2011"</f>
        <v>2011</v>
      </c>
      <c r="I262" s="4" t="str">
        <f>"20,00"</f>
        <v>20,00</v>
      </c>
      <c r="J262" s="4" t="str">
        <f>"2032-2034"</f>
        <v>2032-2034</v>
      </c>
      <c r="K262" s="4" t="str">
        <f t="shared" si="235"/>
        <v>нет</v>
      </c>
      <c r="L262" s="4" t="str">
        <f>""</f>
        <v/>
      </c>
      <c r="M262" s="4" t="str">
        <f>""</f>
        <v/>
      </c>
      <c r="N262" s="4" t="str">
        <f>""</f>
        <v/>
      </c>
      <c r="O262" s="7" t="str">
        <f>"1987"</f>
        <v>1987</v>
      </c>
      <c r="P262" s="4" t="str">
        <f>"30,00"</f>
        <v>30,00</v>
      </c>
      <c r="Q262" s="4" t="str">
        <f>"2032-2034"</f>
        <v>2032-2034</v>
      </c>
      <c r="R262" s="4" t="str">
        <f t="shared" si="291"/>
        <v>нет</v>
      </c>
      <c r="S262" s="4" t="str">
        <f>""</f>
        <v/>
      </c>
      <c r="T262" s="4" t="str">
        <f>""</f>
        <v/>
      </c>
      <c r="U262" s="4" t="str">
        <f>""</f>
        <v/>
      </c>
      <c r="V262" s="4" t="str">
        <f t="shared" si="284"/>
        <v>нет</v>
      </c>
      <c r="W262" s="4" t="str">
        <f>""</f>
        <v/>
      </c>
      <c r="X262" s="4" t="str">
        <f>""</f>
        <v/>
      </c>
      <c r="Y262" s="8" t="str">
        <f>""</f>
        <v/>
      </c>
      <c r="Z262" s="4" t="str">
        <f t="shared" si="285"/>
        <v>х</v>
      </c>
      <c r="AA262" s="4" t="str">
        <f t="shared" si="285"/>
        <v>х</v>
      </c>
      <c r="AB262" s="4" t="str">
        <f t="shared" si="285"/>
        <v>х</v>
      </c>
      <c r="AC262" s="4" t="str">
        <f t="shared" si="285"/>
        <v>х</v>
      </c>
      <c r="AD262" s="4" t="str">
        <f t="shared" si="285"/>
        <v>х</v>
      </c>
      <c r="AE262" s="4" t="str">
        <f t="shared" si="285"/>
        <v>х</v>
      </c>
      <c r="AF262" s="4" t="str">
        <f t="shared" si="285"/>
        <v>х</v>
      </c>
      <c r="AG262" s="4" t="str">
        <f t="shared" si="285"/>
        <v>х</v>
      </c>
      <c r="AH262" s="4" t="str">
        <f t="shared" si="285"/>
        <v>х</v>
      </c>
      <c r="AI262" s="4" t="str">
        <f t="shared" si="285"/>
        <v>х</v>
      </c>
      <c r="AJ262" s="4" t="str">
        <f t="shared" si="285"/>
        <v>х</v>
      </c>
      <c r="AK262" s="7" t="str">
        <f>"1987"</f>
        <v>1987</v>
      </c>
      <c r="AL262" s="4" t="str">
        <f>"30,00"</f>
        <v>30,00</v>
      </c>
      <c r="AM262" s="4" t="str">
        <f>"2032-2034"</f>
        <v>2032-2034</v>
      </c>
      <c r="AN262" s="4" t="str">
        <f t="shared" si="282"/>
        <v>нет</v>
      </c>
      <c r="AO262" s="4" t="str">
        <f>""</f>
        <v/>
      </c>
      <c r="AP262" s="4" t="str">
        <f>""</f>
        <v/>
      </c>
      <c r="AQ262" s="4" t="str">
        <f>""</f>
        <v/>
      </c>
      <c r="AR262" s="4" t="str">
        <f t="shared" si="279"/>
        <v>нет</v>
      </c>
      <c r="AS262" s="4" t="str">
        <f>""</f>
        <v/>
      </c>
      <c r="AT262" s="4" t="str">
        <f>""</f>
        <v/>
      </c>
      <c r="AU262" s="4" t="str">
        <f>""</f>
        <v/>
      </c>
      <c r="AV262" s="4" t="str">
        <f>""</f>
        <v/>
      </c>
      <c r="AW262" s="4" t="str">
        <f>""</f>
        <v/>
      </c>
      <c r="AX262" s="4" t="str">
        <f>""</f>
        <v/>
      </c>
      <c r="AY262" s="4" t="str">
        <f>""</f>
        <v/>
      </c>
      <c r="AZ262" s="4" t="str">
        <f>""</f>
        <v/>
      </c>
      <c r="BA262" s="4" t="str">
        <f>""</f>
        <v/>
      </c>
      <c r="BB262" s="4" t="str">
        <f>""</f>
        <v/>
      </c>
      <c r="BC262" s="4" t="str">
        <f>""</f>
        <v/>
      </c>
      <c r="BD262" s="4" t="str">
        <f>""</f>
        <v/>
      </c>
      <c r="BE262" s="4" t="str">
        <f>""</f>
        <v/>
      </c>
      <c r="BF262" s="4" t="str">
        <f>""</f>
        <v/>
      </c>
      <c r="BG262" s="4" t="str">
        <f>"1987"</f>
        <v>1987</v>
      </c>
      <c r="BH262" s="4" t="str">
        <f>"30,00"</f>
        <v>30,00</v>
      </c>
      <c r="BI262" s="4" t="str">
        <f>"2032-2034"</f>
        <v>2032-2034</v>
      </c>
      <c r="BJ262" s="4" t="str">
        <f t="shared" si="289"/>
        <v>нет</v>
      </c>
      <c r="BK262" s="4" t="str">
        <f>""</f>
        <v/>
      </c>
      <c r="BL262" s="4" t="str">
        <f>""</f>
        <v/>
      </c>
      <c r="BM262" s="4" t="str">
        <f>""</f>
        <v/>
      </c>
      <c r="BN262" s="4" t="str">
        <f t="shared" si="290"/>
        <v>нет</v>
      </c>
      <c r="BO262" s="4" t="str">
        <f>""</f>
        <v/>
      </c>
      <c r="BP262" s="4" t="str">
        <f>""</f>
        <v/>
      </c>
      <c r="BQ262" s="4" t="str">
        <f>""</f>
        <v/>
      </c>
      <c r="BR262" s="4" t="str">
        <f>"1987"</f>
        <v>1987</v>
      </c>
      <c r="BS262" s="4" t="str">
        <f>"35,00"</f>
        <v>35,00</v>
      </c>
      <c r="BT262" s="4" t="str">
        <f>"2032-2034"</f>
        <v>2032-2034</v>
      </c>
      <c r="BU262" s="4" t="str">
        <f t="shared" si="237"/>
        <v>нет</v>
      </c>
      <c r="BV262" s="4" t="str">
        <f t="shared" si="283"/>
        <v>x</v>
      </c>
      <c r="BW262" s="4" t="str">
        <f t="shared" si="283"/>
        <v>x</v>
      </c>
      <c r="BX262" s="4" t="str">
        <f t="shared" si="283"/>
        <v>x</v>
      </c>
      <c r="BY262" s="4" t="str">
        <f t="shared" si="287"/>
        <v>нет</v>
      </c>
      <c r="BZ262" s="4" t="str">
        <f t="shared" si="288"/>
        <v>x</v>
      </c>
      <c r="CA262" s="4" t="str">
        <f t="shared" si="288"/>
        <v>x</v>
      </c>
      <c r="CB262" s="4" t="str">
        <f t="shared" si="288"/>
        <v>x</v>
      </c>
      <c r="CC262" s="4" t="str">
        <f>"1987"</f>
        <v>1987</v>
      </c>
      <c r="CD262" s="4" t="str">
        <f>"25,00"</f>
        <v>25,00</v>
      </c>
      <c r="CE262" s="4" t="str">
        <f>"2032-2034"</f>
        <v>2032-2034</v>
      </c>
      <c r="CF262" s="4" t="str">
        <f>"1987"</f>
        <v>1987</v>
      </c>
      <c r="CG262" s="4" t="str">
        <f>"30,00"</f>
        <v>30,00</v>
      </c>
      <c r="CH262" s="4" t="str">
        <f>"2032-2034"</f>
        <v>2032-2034</v>
      </c>
      <c r="CI262" s="4" t="str">
        <f>"31,00"</f>
        <v>31,00</v>
      </c>
      <c r="CJ262" s="4" t="str">
        <f>"2032-2034"</f>
        <v>2032-2034</v>
      </c>
    </row>
    <row r="263" spans="1:88" ht="11.25" customHeight="1">
      <c r="A263" s="45" t="str">
        <f>"24.250"</f>
        <v>24.250</v>
      </c>
      <c r="B263" s="46" t="str">
        <f>"д. Сорожино, д.68"</f>
        <v>д. Сорожино, д.68</v>
      </c>
      <c r="C263" s="6" t="str">
        <f>"1978"</f>
        <v>1978</v>
      </c>
      <c r="D263" s="4" t="str">
        <f>"1978"</f>
        <v>1978</v>
      </c>
      <c r="E263" s="4" t="str">
        <f>"40,00"</f>
        <v>40,00</v>
      </c>
      <c r="F263" s="4" t="str">
        <f>"2027-2029"</f>
        <v>2027-2029</v>
      </c>
      <c r="G263" s="4" t="str">
        <f>"да"</f>
        <v>да</v>
      </c>
      <c r="H263" s="4" t="str">
        <f>"2011"</f>
        <v>2011</v>
      </c>
      <c r="I263" s="4" t="str">
        <f>"20,00"</f>
        <v>20,00</v>
      </c>
      <c r="J263" s="4" t="str">
        <f>"2027-2029"</f>
        <v>2027-2029</v>
      </c>
      <c r="K263" s="4" t="str">
        <f t="shared" si="235"/>
        <v>нет</v>
      </c>
      <c r="L263" s="4" t="str">
        <f>""</f>
        <v/>
      </c>
      <c r="M263" s="4" t="str">
        <f>""</f>
        <v/>
      </c>
      <c r="N263" s="4" t="str">
        <f>""</f>
        <v/>
      </c>
      <c r="O263" s="7" t="str">
        <f>"1978"</f>
        <v>1978</v>
      </c>
      <c r="P263" s="4" t="str">
        <f>"40,00"</f>
        <v>40,00</v>
      </c>
      <c r="Q263" s="4" t="str">
        <f>"2027-2029"</f>
        <v>2027-2029</v>
      </c>
      <c r="R263" s="4" t="str">
        <f t="shared" si="291"/>
        <v>нет</v>
      </c>
      <c r="S263" s="4" t="str">
        <f>""</f>
        <v/>
      </c>
      <c r="T263" s="4" t="str">
        <f>""</f>
        <v/>
      </c>
      <c r="U263" s="4" t="str">
        <f>""</f>
        <v/>
      </c>
      <c r="V263" s="4" t="str">
        <f t="shared" si="284"/>
        <v>нет</v>
      </c>
      <c r="W263" s="4" t="str">
        <f>""</f>
        <v/>
      </c>
      <c r="X263" s="4" t="str">
        <f>""</f>
        <v/>
      </c>
      <c r="Y263" s="8" t="str">
        <f>""</f>
        <v/>
      </c>
      <c r="Z263" s="4" t="str">
        <f t="shared" si="285"/>
        <v>х</v>
      </c>
      <c r="AA263" s="4" t="str">
        <f t="shared" si="285"/>
        <v>х</v>
      </c>
      <c r="AB263" s="4" t="str">
        <f t="shared" si="285"/>
        <v>х</v>
      </c>
      <c r="AC263" s="4" t="str">
        <f t="shared" si="285"/>
        <v>х</v>
      </c>
      <c r="AD263" s="4" t="str">
        <f t="shared" si="285"/>
        <v>х</v>
      </c>
      <c r="AE263" s="4" t="str">
        <f t="shared" si="285"/>
        <v>х</v>
      </c>
      <c r="AF263" s="4" t="str">
        <f t="shared" si="285"/>
        <v>х</v>
      </c>
      <c r="AG263" s="4" t="str">
        <f t="shared" si="285"/>
        <v>х</v>
      </c>
      <c r="AH263" s="4" t="str">
        <f t="shared" si="285"/>
        <v>х</v>
      </c>
      <c r="AI263" s="4" t="str">
        <f t="shared" si="285"/>
        <v>х</v>
      </c>
      <c r="AJ263" s="4" t="str">
        <f t="shared" si="285"/>
        <v>х</v>
      </c>
      <c r="AK263" s="7" t="str">
        <f>"1978"</f>
        <v>1978</v>
      </c>
      <c r="AL263" s="4" t="str">
        <f>"40,00"</f>
        <v>40,00</v>
      </c>
      <c r="AM263" s="4" t="str">
        <f>"2027-2029"</f>
        <v>2027-2029</v>
      </c>
      <c r="AN263" s="4" t="str">
        <f t="shared" si="282"/>
        <v>нет</v>
      </c>
      <c r="AO263" s="4" t="str">
        <f>""</f>
        <v/>
      </c>
      <c r="AP263" s="4" t="str">
        <f>""</f>
        <v/>
      </c>
      <c r="AQ263" s="4" t="str">
        <f>""</f>
        <v/>
      </c>
      <c r="AR263" s="4" t="str">
        <f t="shared" si="279"/>
        <v>нет</v>
      </c>
      <c r="AS263" s="4" t="str">
        <f>""</f>
        <v/>
      </c>
      <c r="AT263" s="4" t="str">
        <f>""</f>
        <v/>
      </c>
      <c r="AU263" s="4" t="str">
        <f>""</f>
        <v/>
      </c>
      <c r="AV263" s="4" t="str">
        <f>""</f>
        <v/>
      </c>
      <c r="AW263" s="4" t="str">
        <f>""</f>
        <v/>
      </c>
      <c r="AX263" s="4" t="str">
        <f>""</f>
        <v/>
      </c>
      <c r="AY263" s="4" t="str">
        <f>""</f>
        <v/>
      </c>
      <c r="AZ263" s="4" t="str">
        <f>""</f>
        <v/>
      </c>
      <c r="BA263" s="4" t="str">
        <f>""</f>
        <v/>
      </c>
      <c r="BB263" s="4" t="str">
        <f>""</f>
        <v/>
      </c>
      <c r="BC263" s="4" t="str">
        <f>""</f>
        <v/>
      </c>
      <c r="BD263" s="4" t="str">
        <f>""</f>
        <v/>
      </c>
      <c r="BE263" s="4" t="str">
        <f>""</f>
        <v/>
      </c>
      <c r="BF263" s="4" t="str">
        <f>""</f>
        <v/>
      </c>
      <c r="BG263" s="4" t="str">
        <f>"1978"</f>
        <v>1978</v>
      </c>
      <c r="BH263" s="4" t="str">
        <f>"40,00"</f>
        <v>40,00</v>
      </c>
      <c r="BI263" s="4" t="str">
        <f>"2027-2029"</f>
        <v>2027-2029</v>
      </c>
      <c r="BJ263" s="4" t="str">
        <f t="shared" si="289"/>
        <v>нет</v>
      </c>
      <c r="BK263" s="4" t="str">
        <f>""</f>
        <v/>
      </c>
      <c r="BL263" s="4" t="str">
        <f>""</f>
        <v/>
      </c>
      <c r="BM263" s="4" t="str">
        <f>""</f>
        <v/>
      </c>
      <c r="BN263" s="4" t="str">
        <f t="shared" si="290"/>
        <v>нет</v>
      </c>
      <c r="BO263" s="4" t="str">
        <f>""</f>
        <v/>
      </c>
      <c r="BP263" s="4" t="str">
        <f>""</f>
        <v/>
      </c>
      <c r="BQ263" s="4" t="str">
        <f>""</f>
        <v/>
      </c>
      <c r="BR263" s="4" t="str">
        <f>"1978"</f>
        <v>1978</v>
      </c>
      <c r="BS263" s="4" t="str">
        <f>"40,00"</f>
        <v>40,00</v>
      </c>
      <c r="BT263" s="4" t="str">
        <f>"2027-2029"</f>
        <v>2027-2029</v>
      </c>
      <c r="BU263" s="4" t="str">
        <f t="shared" si="237"/>
        <v>нет</v>
      </c>
      <c r="BV263" s="4" t="str">
        <f t="shared" si="283"/>
        <v>x</v>
      </c>
      <c r="BW263" s="4" t="str">
        <f t="shared" si="283"/>
        <v>x</v>
      </c>
      <c r="BX263" s="4" t="str">
        <f t="shared" si="283"/>
        <v>x</v>
      </c>
      <c r="BY263" s="4" t="str">
        <f t="shared" si="287"/>
        <v>нет</v>
      </c>
      <c r="BZ263" s="4" t="str">
        <f t="shared" si="288"/>
        <v>x</v>
      </c>
      <c r="CA263" s="4" t="str">
        <f t="shared" si="288"/>
        <v>x</v>
      </c>
      <c r="CB263" s="4" t="str">
        <f t="shared" si="288"/>
        <v>x</v>
      </c>
      <c r="CC263" s="4" t="str">
        <f>"1978"</f>
        <v>1978</v>
      </c>
      <c r="CD263" s="4" t="str">
        <f>"35,00"</f>
        <v>35,00</v>
      </c>
      <c r="CE263" s="4" t="str">
        <f>"2027-2029"</f>
        <v>2027-2029</v>
      </c>
      <c r="CF263" s="4" t="str">
        <f>"1978"</f>
        <v>1978</v>
      </c>
      <c r="CG263" s="4" t="str">
        <f>"35,00"</f>
        <v>35,00</v>
      </c>
      <c r="CH263" s="4" t="str">
        <f>"2027-2029"</f>
        <v>2027-2029</v>
      </c>
      <c r="CI263" s="4" t="str">
        <f>"36,00"</f>
        <v>36,00</v>
      </c>
      <c r="CJ263" s="4" t="str">
        <f>"2027-2029"</f>
        <v>2027-2029</v>
      </c>
    </row>
    <row r="264" spans="1:88" ht="11.25" customHeight="1">
      <c r="A264" s="45" t="str">
        <f>"24.251"</f>
        <v>24.251</v>
      </c>
      <c r="B264" s="46" t="str">
        <f>"п. Пундуга, д.1"</f>
        <v>п. Пундуга, д.1</v>
      </c>
      <c r="C264" s="6" t="str">
        <f>"1898"</f>
        <v>1898</v>
      </c>
      <c r="D264" s="4" t="str">
        <f>"2005"</f>
        <v>2005</v>
      </c>
      <c r="E264" s="4" t="str">
        <f>"30,00"</f>
        <v>30,00</v>
      </c>
      <c r="F264" s="4" t="str">
        <f>"2019-2021"</f>
        <v>2019-2021</v>
      </c>
      <c r="G264" s="4" t="str">
        <f>"нет"</f>
        <v>нет</v>
      </c>
      <c r="H264" s="4" t="str">
        <f>""</f>
        <v/>
      </c>
      <c r="I264" s="4" t="str">
        <f>""</f>
        <v/>
      </c>
      <c r="J264" s="4" t="str">
        <f>""</f>
        <v/>
      </c>
      <c r="K264" s="4" t="str">
        <f t="shared" si="235"/>
        <v>нет</v>
      </c>
      <c r="L264" s="4" t="str">
        <f>""</f>
        <v/>
      </c>
      <c r="M264" s="4" t="str">
        <f>""</f>
        <v/>
      </c>
      <c r="N264" s="4" t="str">
        <f>""</f>
        <v/>
      </c>
      <c r="O264" s="7" t="str">
        <f>"2000"</f>
        <v>2000</v>
      </c>
      <c r="P264" s="4" t="str">
        <f>"30,00"</f>
        <v>30,00</v>
      </c>
      <c r="Q264" s="4" t="str">
        <f>"2019-2021"</f>
        <v>2019-2021</v>
      </c>
      <c r="R264" s="4" t="str">
        <f t="shared" si="291"/>
        <v>нет</v>
      </c>
      <c r="S264" s="4" t="str">
        <f>""</f>
        <v/>
      </c>
      <c r="T264" s="4" t="str">
        <f>""</f>
        <v/>
      </c>
      <c r="U264" s="4" t="str">
        <f>""</f>
        <v/>
      </c>
      <c r="V264" s="4" t="str">
        <f t="shared" si="284"/>
        <v>нет</v>
      </c>
      <c r="W264" s="4" t="str">
        <f>""</f>
        <v/>
      </c>
      <c r="X264" s="4" t="str">
        <f>""</f>
        <v/>
      </c>
      <c r="Y264" s="8" t="str">
        <f>""</f>
        <v/>
      </c>
      <c r="Z264" s="4" t="str">
        <f t="shared" si="285"/>
        <v>х</v>
      </c>
      <c r="AA264" s="4" t="str">
        <f t="shared" si="285"/>
        <v>х</v>
      </c>
      <c r="AB264" s="4" t="str">
        <f t="shared" si="285"/>
        <v>х</v>
      </c>
      <c r="AC264" s="4" t="str">
        <f t="shared" si="285"/>
        <v>х</v>
      </c>
      <c r="AD264" s="4" t="str">
        <f t="shared" si="285"/>
        <v>х</v>
      </c>
      <c r="AE264" s="4" t="str">
        <f t="shared" si="285"/>
        <v>х</v>
      </c>
      <c r="AF264" s="4" t="str">
        <f t="shared" si="285"/>
        <v>х</v>
      </c>
      <c r="AG264" s="4" t="str">
        <f t="shared" si="285"/>
        <v>х</v>
      </c>
      <c r="AH264" s="4" t="str">
        <f t="shared" si="285"/>
        <v>х</v>
      </c>
      <c r="AI264" s="4" t="str">
        <f t="shared" si="285"/>
        <v>х</v>
      </c>
      <c r="AJ264" s="4" t="str">
        <f t="shared" si="285"/>
        <v>х</v>
      </c>
      <c r="AK264" s="7" t="str">
        <f t="shared" ref="AK264:BQ264" si="292">"х"</f>
        <v>х</v>
      </c>
      <c r="AL264" s="4" t="str">
        <f t="shared" si="292"/>
        <v>х</v>
      </c>
      <c r="AM264" s="4" t="str">
        <f t="shared" si="292"/>
        <v>х</v>
      </c>
      <c r="AN264" s="4" t="str">
        <f t="shared" si="292"/>
        <v>х</v>
      </c>
      <c r="AO264" s="4" t="str">
        <f t="shared" si="292"/>
        <v>х</v>
      </c>
      <c r="AP264" s="4" t="str">
        <f t="shared" si="292"/>
        <v>х</v>
      </c>
      <c r="AQ264" s="4" t="str">
        <f t="shared" si="292"/>
        <v>х</v>
      </c>
      <c r="AR264" s="4" t="str">
        <f t="shared" si="292"/>
        <v>х</v>
      </c>
      <c r="AS264" s="4" t="str">
        <f t="shared" si="292"/>
        <v>х</v>
      </c>
      <c r="AT264" s="4" t="str">
        <f t="shared" si="292"/>
        <v>х</v>
      </c>
      <c r="AU264" s="4" t="str">
        <f t="shared" si="292"/>
        <v>х</v>
      </c>
      <c r="AV264" s="4" t="str">
        <f t="shared" si="292"/>
        <v>х</v>
      </c>
      <c r="AW264" s="4" t="str">
        <f t="shared" si="292"/>
        <v>х</v>
      </c>
      <c r="AX264" s="4" t="str">
        <f t="shared" si="292"/>
        <v>х</v>
      </c>
      <c r="AY264" s="4" t="str">
        <f t="shared" si="292"/>
        <v>х</v>
      </c>
      <c r="AZ264" s="4" t="str">
        <f t="shared" si="292"/>
        <v>х</v>
      </c>
      <c r="BA264" s="4" t="str">
        <f t="shared" si="292"/>
        <v>х</v>
      </c>
      <c r="BB264" s="4" t="str">
        <f t="shared" si="292"/>
        <v>х</v>
      </c>
      <c r="BC264" s="4" t="str">
        <f t="shared" si="292"/>
        <v>х</v>
      </c>
      <c r="BD264" s="4" t="str">
        <f t="shared" si="292"/>
        <v>х</v>
      </c>
      <c r="BE264" s="4" t="str">
        <f t="shared" si="292"/>
        <v>х</v>
      </c>
      <c r="BF264" s="4" t="str">
        <f t="shared" si="292"/>
        <v>х</v>
      </c>
      <c r="BG264" s="4" t="str">
        <f t="shared" si="292"/>
        <v>х</v>
      </c>
      <c r="BH264" s="4" t="str">
        <f t="shared" si="292"/>
        <v>х</v>
      </c>
      <c r="BI264" s="4" t="str">
        <f t="shared" si="292"/>
        <v>х</v>
      </c>
      <c r="BJ264" s="4" t="str">
        <f t="shared" si="292"/>
        <v>х</v>
      </c>
      <c r="BK264" s="4" t="str">
        <f t="shared" si="292"/>
        <v>х</v>
      </c>
      <c r="BL264" s="4" t="str">
        <f t="shared" si="292"/>
        <v>х</v>
      </c>
      <c r="BM264" s="4" t="str">
        <f t="shared" si="292"/>
        <v>х</v>
      </c>
      <c r="BN264" s="4" t="str">
        <f t="shared" si="292"/>
        <v>х</v>
      </c>
      <c r="BO264" s="4" t="str">
        <f t="shared" si="292"/>
        <v>х</v>
      </c>
      <c r="BP264" s="4" t="str">
        <f t="shared" si="292"/>
        <v>х</v>
      </c>
      <c r="BQ264" s="4" t="str">
        <f t="shared" si="292"/>
        <v>х</v>
      </c>
      <c r="BR264" s="4" t="str">
        <f>"2005"</f>
        <v>2005</v>
      </c>
      <c r="BS264" s="4" t="str">
        <f>"30,00"</f>
        <v>30,00</v>
      </c>
      <c r="BT264" s="4" t="str">
        <f>"2019-2021"</f>
        <v>2019-2021</v>
      </c>
      <c r="BU264" s="4" t="str">
        <f t="shared" si="237"/>
        <v>нет</v>
      </c>
      <c r="BV264" s="4" t="str">
        <f t="shared" si="283"/>
        <v>x</v>
      </c>
      <c r="BW264" s="4" t="str">
        <f t="shared" si="283"/>
        <v>x</v>
      </c>
      <c r="BX264" s="4" t="str">
        <f t="shared" si="283"/>
        <v>x</v>
      </c>
      <c r="BY264" s="4" t="str">
        <f t="shared" si="287"/>
        <v>нет</v>
      </c>
      <c r="BZ264" s="4" t="str">
        <f t="shared" si="288"/>
        <v>x</v>
      </c>
      <c r="CA264" s="4" t="str">
        <f t="shared" si="288"/>
        <v>x</v>
      </c>
      <c r="CB264" s="4" t="str">
        <f t="shared" si="288"/>
        <v>x</v>
      </c>
      <c r="CC264" s="4" t="str">
        <f>"2000"</f>
        <v>2000</v>
      </c>
      <c r="CD264" s="4" t="str">
        <f>"50,00"</f>
        <v>50,00</v>
      </c>
      <c r="CE264" s="4" t="str">
        <f>"2019-2021"</f>
        <v>2019-2021</v>
      </c>
      <c r="CF264" s="4" t="str">
        <f>"2005"</f>
        <v>2005</v>
      </c>
      <c r="CG264" s="4" t="str">
        <f>"45,00"</f>
        <v>45,00</v>
      </c>
      <c r="CH264" s="4" t="str">
        <f>"2019-2021"</f>
        <v>2019-2021</v>
      </c>
      <c r="CI264" s="4" t="str">
        <f>"42,00"</f>
        <v>42,00</v>
      </c>
      <c r="CJ264" s="4" t="str">
        <f>"2019-2021"</f>
        <v>2019-2021</v>
      </c>
    </row>
    <row r="265" spans="1:88" ht="11.25" customHeight="1">
      <c r="A265" s="45" t="str">
        <f>"24.252"</f>
        <v>24.252</v>
      </c>
      <c r="B265" s="46" t="str">
        <f>"п. Пундуга, д.26"</f>
        <v>п. Пундуга, д.26</v>
      </c>
      <c r="C265" s="6" t="str">
        <f>"1967"</f>
        <v>1967</v>
      </c>
      <c r="D265" s="4" t="str">
        <f>"1967"</f>
        <v>1967</v>
      </c>
      <c r="E265" s="4" t="str">
        <f>"65,00"</f>
        <v>65,00</v>
      </c>
      <c r="F265" s="4" t="str">
        <f>"2016-2018"</f>
        <v>2016-2018</v>
      </c>
      <c r="G265" s="4" t="str">
        <f>"нет"</f>
        <v>нет</v>
      </c>
      <c r="H265" s="4" t="str">
        <f>""</f>
        <v/>
      </c>
      <c r="I265" s="4" t="str">
        <f>""</f>
        <v/>
      </c>
      <c r="J265" s="4" t="str">
        <f>""</f>
        <v/>
      </c>
      <c r="K265" s="4" t="str">
        <f t="shared" si="235"/>
        <v>нет</v>
      </c>
      <c r="L265" s="4" t="str">
        <f>""</f>
        <v/>
      </c>
      <c r="M265" s="4" t="str">
        <f>""</f>
        <v/>
      </c>
      <c r="N265" s="4" t="str">
        <f>""</f>
        <v/>
      </c>
      <c r="O265" s="7" t="str">
        <f>"1967"</f>
        <v>1967</v>
      </c>
      <c r="P265" s="4" t="str">
        <f>"60,00"</f>
        <v>60,00</v>
      </c>
      <c r="Q265" s="4" t="str">
        <f>"2016-2018"</f>
        <v>2016-2018</v>
      </c>
      <c r="R265" s="4" t="str">
        <f t="shared" si="291"/>
        <v>нет</v>
      </c>
      <c r="S265" s="4" t="str">
        <f>""</f>
        <v/>
      </c>
      <c r="T265" s="4" t="str">
        <f>""</f>
        <v/>
      </c>
      <c r="U265" s="4" t="str">
        <f>""</f>
        <v/>
      </c>
      <c r="V265" s="4" t="str">
        <f t="shared" si="284"/>
        <v>нет</v>
      </c>
      <c r="W265" s="4" t="str">
        <f>""</f>
        <v/>
      </c>
      <c r="X265" s="4" t="str">
        <f>""</f>
        <v/>
      </c>
      <c r="Y265" s="8" t="str">
        <f>""</f>
        <v/>
      </c>
      <c r="Z265" s="4" t="str">
        <f t="shared" si="285"/>
        <v>х</v>
      </c>
      <c r="AA265" s="4" t="str">
        <f t="shared" si="285"/>
        <v>х</v>
      </c>
      <c r="AB265" s="4" t="str">
        <f t="shared" si="285"/>
        <v>х</v>
      </c>
      <c r="AC265" s="4" t="str">
        <f t="shared" si="285"/>
        <v>х</v>
      </c>
      <c r="AD265" s="4" t="str">
        <f t="shared" si="285"/>
        <v>х</v>
      </c>
      <c r="AE265" s="4" t="str">
        <f t="shared" si="285"/>
        <v>х</v>
      </c>
      <c r="AF265" s="4" t="str">
        <f t="shared" si="285"/>
        <v>х</v>
      </c>
      <c r="AG265" s="4" t="str">
        <f t="shared" si="285"/>
        <v>х</v>
      </c>
      <c r="AH265" s="4" t="str">
        <f t="shared" si="285"/>
        <v>х</v>
      </c>
      <c r="AI265" s="4" t="str">
        <f t="shared" si="285"/>
        <v>х</v>
      </c>
      <c r="AJ265" s="4" t="str">
        <f t="shared" si="285"/>
        <v>х</v>
      </c>
      <c r="AK265" s="7" t="str">
        <f>"1967"</f>
        <v>1967</v>
      </c>
      <c r="AL265" s="4" t="str">
        <f>"60,00"</f>
        <v>60,00</v>
      </c>
      <c r="AM265" s="4" t="str">
        <f>"2016-2018"</f>
        <v>2016-2018</v>
      </c>
      <c r="AN265" s="4" t="str">
        <f t="shared" ref="AN265:AN274" si="293">"нет"</f>
        <v>нет</v>
      </c>
      <c r="AO265" s="4" t="str">
        <f>""</f>
        <v/>
      </c>
      <c r="AP265" s="4" t="str">
        <f>""</f>
        <v/>
      </c>
      <c r="AQ265" s="4" t="str">
        <f>""</f>
        <v/>
      </c>
      <c r="AR265" s="4" t="str">
        <f t="shared" ref="AR265:AR274" si="294">"нет"</f>
        <v>нет</v>
      </c>
      <c r="AS265" s="4" t="str">
        <f>""</f>
        <v/>
      </c>
      <c r="AT265" s="4" t="str">
        <f>""</f>
        <v/>
      </c>
      <c r="AU265" s="4" t="str">
        <f>""</f>
        <v/>
      </c>
      <c r="AV265" s="4" t="str">
        <f t="shared" ref="AV265:BF265" si="295">"х"</f>
        <v>х</v>
      </c>
      <c r="AW265" s="4" t="str">
        <f t="shared" si="295"/>
        <v>х</v>
      </c>
      <c r="AX265" s="4" t="str">
        <f t="shared" si="295"/>
        <v>х</v>
      </c>
      <c r="AY265" s="4" t="str">
        <f t="shared" si="295"/>
        <v>х</v>
      </c>
      <c r="AZ265" s="4" t="str">
        <f t="shared" si="295"/>
        <v>х</v>
      </c>
      <c r="BA265" s="4" t="str">
        <f t="shared" si="295"/>
        <v>х</v>
      </c>
      <c r="BB265" s="4" t="str">
        <f t="shared" si="295"/>
        <v>х</v>
      </c>
      <c r="BC265" s="4" t="str">
        <f t="shared" si="295"/>
        <v>х</v>
      </c>
      <c r="BD265" s="4" t="str">
        <f t="shared" si="295"/>
        <v>х</v>
      </c>
      <c r="BE265" s="4" t="str">
        <f t="shared" si="295"/>
        <v>х</v>
      </c>
      <c r="BF265" s="4" t="str">
        <f t="shared" si="295"/>
        <v>х</v>
      </c>
      <c r="BG265" s="4" t="str">
        <f>"1967"</f>
        <v>1967</v>
      </c>
      <c r="BH265" s="4" t="str">
        <f>"60,00"</f>
        <v>60,00</v>
      </c>
      <c r="BI265" s="4" t="str">
        <f>"2016-2018"</f>
        <v>2016-2018</v>
      </c>
      <c r="BJ265" s="4" t="str">
        <f t="shared" ref="BJ265:BJ274" si="296">"нет"</f>
        <v>нет</v>
      </c>
      <c r="BK265" s="4" t="str">
        <f>""</f>
        <v/>
      </c>
      <c r="BL265" s="4" t="str">
        <f>""</f>
        <v/>
      </c>
      <c r="BM265" s="4" t="str">
        <f>""</f>
        <v/>
      </c>
      <c r="BN265" s="4" t="str">
        <f t="shared" ref="BN265:BN274" si="297">"нет"</f>
        <v>нет</v>
      </c>
      <c r="BO265" s="4" t="str">
        <f>""</f>
        <v/>
      </c>
      <c r="BP265" s="4" t="str">
        <f>""</f>
        <v/>
      </c>
      <c r="BQ265" s="4" t="str">
        <f>""</f>
        <v/>
      </c>
      <c r="BR265" s="4" t="str">
        <f>"1967"</f>
        <v>1967</v>
      </c>
      <c r="BS265" s="4" t="str">
        <f>"65,00"</f>
        <v>65,00</v>
      </c>
      <c r="BT265" s="4" t="str">
        <f>"2016-2018"</f>
        <v>2016-2018</v>
      </c>
      <c r="BU265" s="4" t="str">
        <f t="shared" si="237"/>
        <v>нет</v>
      </c>
      <c r="BV265" s="4" t="str">
        <f t="shared" si="283"/>
        <v>x</v>
      </c>
      <c r="BW265" s="4" t="str">
        <f t="shared" si="283"/>
        <v>x</v>
      </c>
      <c r="BX265" s="4" t="str">
        <f t="shared" si="283"/>
        <v>x</v>
      </c>
      <c r="BY265" s="4" t="str">
        <f t="shared" si="287"/>
        <v>нет</v>
      </c>
      <c r="BZ265" s="4" t="str">
        <f t="shared" si="288"/>
        <v>x</v>
      </c>
      <c r="CA265" s="4" t="str">
        <f t="shared" si="288"/>
        <v>x</v>
      </c>
      <c r="CB265" s="4" t="str">
        <f t="shared" si="288"/>
        <v>x</v>
      </c>
      <c r="CC265" s="4" t="str">
        <f>"1967"</f>
        <v>1967</v>
      </c>
      <c r="CD265" s="4" t="str">
        <f>"70,00"</f>
        <v>70,00</v>
      </c>
      <c r="CE265" s="4" t="str">
        <f>"2016-2018"</f>
        <v>2016-2018</v>
      </c>
      <c r="CF265" s="4" t="str">
        <f>"1967"</f>
        <v>1967</v>
      </c>
      <c r="CG265" s="4" t="str">
        <f>"60,00"</f>
        <v>60,00</v>
      </c>
      <c r="CH265" s="4" t="str">
        <f>"2016-2018"</f>
        <v>2016-2018</v>
      </c>
      <c r="CI265" s="4" t="str">
        <f>"67,00"</f>
        <v>67,00</v>
      </c>
      <c r="CJ265" s="4" t="str">
        <f>"2016-2018"</f>
        <v>2016-2018</v>
      </c>
    </row>
    <row r="266" spans="1:88" ht="11.25" customHeight="1">
      <c r="A266" s="45" t="str">
        <f>"24.253"</f>
        <v>24.253</v>
      </c>
      <c r="B266" s="46" t="str">
        <f>"п. Ситинский, ул. Мира, д.6"</f>
        <v>п. Ситинский, ул. Мира, д.6</v>
      </c>
      <c r="C266" s="6" t="str">
        <f>"1987"</f>
        <v>1987</v>
      </c>
      <c r="D266" s="4" t="str">
        <f>"1987"</f>
        <v>1987</v>
      </c>
      <c r="E266" s="4" t="str">
        <f>"35,00"</f>
        <v>35,00</v>
      </c>
      <c r="F266" s="4" t="str">
        <f>"2032-2034"</f>
        <v>2032-2034</v>
      </c>
      <c r="G266" s="4" t="str">
        <f>"да"</f>
        <v>да</v>
      </c>
      <c r="H266" s="4" t="str">
        <f>"2013"</f>
        <v>2013</v>
      </c>
      <c r="I266" s="4" t="str">
        <f>"1,00"</f>
        <v>1,00</v>
      </c>
      <c r="J266" s="4" t="str">
        <f>"2032-2034"</f>
        <v>2032-2034</v>
      </c>
      <c r="K266" s="4" t="str">
        <f t="shared" si="235"/>
        <v>нет</v>
      </c>
      <c r="L266" s="4" t="str">
        <f>""</f>
        <v/>
      </c>
      <c r="M266" s="4" t="str">
        <f>""</f>
        <v/>
      </c>
      <c r="N266" s="4" t="str">
        <f>""</f>
        <v/>
      </c>
      <c r="O266" s="7" t="str">
        <f>"1987"</f>
        <v>1987</v>
      </c>
      <c r="P266" s="4" t="str">
        <f>"35,00"</f>
        <v>35,00</v>
      </c>
      <c r="Q266" s="4" t="str">
        <f>"2032-2034"</f>
        <v>2032-2034</v>
      </c>
      <c r="R266" s="4" t="str">
        <f t="shared" si="291"/>
        <v>нет</v>
      </c>
      <c r="S266" s="4" t="str">
        <f>""</f>
        <v/>
      </c>
      <c r="T266" s="4" t="str">
        <f>""</f>
        <v/>
      </c>
      <c r="U266" s="4" t="str">
        <f>""</f>
        <v/>
      </c>
      <c r="V266" s="4" t="str">
        <f t="shared" si="284"/>
        <v>нет</v>
      </c>
      <c r="W266" s="4" t="str">
        <f>""</f>
        <v/>
      </c>
      <c r="X266" s="4" t="str">
        <f>""</f>
        <v/>
      </c>
      <c r="Y266" s="8" t="str">
        <f>""</f>
        <v/>
      </c>
      <c r="Z266" s="4" t="str">
        <f t="shared" si="285"/>
        <v>х</v>
      </c>
      <c r="AA266" s="4" t="str">
        <f t="shared" si="285"/>
        <v>х</v>
      </c>
      <c r="AB266" s="4" t="str">
        <f t="shared" si="285"/>
        <v>х</v>
      </c>
      <c r="AC266" s="4" t="str">
        <f t="shared" si="285"/>
        <v>х</v>
      </c>
      <c r="AD266" s="4" t="str">
        <f t="shared" si="285"/>
        <v>х</v>
      </c>
      <c r="AE266" s="4" t="str">
        <f t="shared" si="285"/>
        <v>х</v>
      </c>
      <c r="AF266" s="4" t="str">
        <f t="shared" si="285"/>
        <v>х</v>
      </c>
      <c r="AG266" s="4" t="str">
        <f t="shared" si="285"/>
        <v>х</v>
      </c>
      <c r="AH266" s="4" t="str">
        <f t="shared" si="285"/>
        <v>х</v>
      </c>
      <c r="AI266" s="4" t="str">
        <f t="shared" si="285"/>
        <v>х</v>
      </c>
      <c r="AJ266" s="4" t="str">
        <f t="shared" si="285"/>
        <v>х</v>
      </c>
      <c r="AK266" s="7" t="str">
        <f>"1987"</f>
        <v>1987</v>
      </c>
      <c r="AL266" s="4" t="str">
        <f>"30,00"</f>
        <v>30,00</v>
      </c>
      <c r="AM266" s="4" t="str">
        <f>"2032-2034"</f>
        <v>2032-2034</v>
      </c>
      <c r="AN266" s="4" t="str">
        <f t="shared" si="293"/>
        <v>нет</v>
      </c>
      <c r="AO266" s="4" t="str">
        <f>""</f>
        <v/>
      </c>
      <c r="AP266" s="4" t="str">
        <f>""</f>
        <v/>
      </c>
      <c r="AQ266" s="4" t="str">
        <f>""</f>
        <v/>
      </c>
      <c r="AR266" s="4" t="str">
        <f t="shared" si="294"/>
        <v>нет</v>
      </c>
      <c r="AS266" s="4" t="str">
        <f>""</f>
        <v/>
      </c>
      <c r="AT266" s="4" t="str">
        <f>""</f>
        <v/>
      </c>
      <c r="AU266" s="4" t="str">
        <f>""</f>
        <v/>
      </c>
      <c r="AV266" s="4" t="str">
        <f>""</f>
        <v/>
      </c>
      <c r="AW266" s="4" t="str">
        <f>""</f>
        <v/>
      </c>
      <c r="AX266" s="4" t="str">
        <f>""</f>
        <v/>
      </c>
      <c r="AY266" s="4" t="str">
        <f>""</f>
        <v/>
      </c>
      <c r="AZ266" s="4" t="str">
        <f>""</f>
        <v/>
      </c>
      <c r="BA266" s="4" t="str">
        <f>""</f>
        <v/>
      </c>
      <c r="BB266" s="4" t="str">
        <f>""</f>
        <v/>
      </c>
      <c r="BC266" s="4" t="str">
        <f>""</f>
        <v/>
      </c>
      <c r="BD266" s="4" t="str">
        <f>""</f>
        <v/>
      </c>
      <c r="BE266" s="4" t="str">
        <f>""</f>
        <v/>
      </c>
      <c r="BF266" s="4" t="str">
        <f>""</f>
        <v/>
      </c>
      <c r="BG266" s="4" t="str">
        <f>"1987"</f>
        <v>1987</v>
      </c>
      <c r="BH266" s="4" t="str">
        <f>"35,00"</f>
        <v>35,00</v>
      </c>
      <c r="BI266" s="4" t="str">
        <f>"2032-2034"</f>
        <v>2032-2034</v>
      </c>
      <c r="BJ266" s="4" t="str">
        <f t="shared" si="296"/>
        <v>нет</v>
      </c>
      <c r="BK266" s="4" t="str">
        <f>""</f>
        <v/>
      </c>
      <c r="BL266" s="4" t="str">
        <f>""</f>
        <v/>
      </c>
      <c r="BM266" s="4" t="str">
        <f>""</f>
        <v/>
      </c>
      <c r="BN266" s="4" t="str">
        <f t="shared" si="297"/>
        <v>нет</v>
      </c>
      <c r="BO266" s="4" t="str">
        <f>""</f>
        <v/>
      </c>
      <c r="BP266" s="4" t="str">
        <f>""</f>
        <v/>
      </c>
      <c r="BQ266" s="4" t="str">
        <f>""</f>
        <v/>
      </c>
      <c r="BR266" s="4" t="str">
        <f>"1987"</f>
        <v>1987</v>
      </c>
      <c r="BS266" s="4" t="str">
        <f>"40,00"</f>
        <v>40,00</v>
      </c>
      <c r="BT266" s="4" t="str">
        <f>"2032-2034"</f>
        <v>2032-2034</v>
      </c>
      <c r="BU266" s="4" t="str">
        <f t="shared" si="237"/>
        <v>нет</v>
      </c>
      <c r="BV266" s="4" t="str">
        <f t="shared" si="283"/>
        <v>x</v>
      </c>
      <c r="BW266" s="4" t="str">
        <f t="shared" si="283"/>
        <v>x</v>
      </c>
      <c r="BX266" s="4" t="str">
        <f t="shared" si="283"/>
        <v>x</v>
      </c>
      <c r="BY266" s="4" t="str">
        <f>"да"</f>
        <v>да</v>
      </c>
      <c r="BZ266" s="4" t="str">
        <f>"1987"</f>
        <v>1987</v>
      </c>
      <c r="CA266" s="4" t="str">
        <f>"10,00"</f>
        <v>10,00</v>
      </c>
      <c r="CB266" s="4" t="str">
        <f>"2032-2034"</f>
        <v>2032-2034</v>
      </c>
      <c r="CC266" s="4" t="str">
        <f>"1987"</f>
        <v>1987</v>
      </c>
      <c r="CD266" s="4" t="str">
        <f>"20,00"</f>
        <v>20,00</v>
      </c>
      <c r="CE266" s="4" t="str">
        <f>"2032-2034"</f>
        <v>2032-2034</v>
      </c>
      <c r="CF266" s="4" t="str">
        <f>"1987"</f>
        <v>1987</v>
      </c>
      <c r="CG266" s="4" t="str">
        <f>"10,00"</f>
        <v>10,00</v>
      </c>
      <c r="CH266" s="4" t="str">
        <f>"2032-2034"</f>
        <v>2032-2034</v>
      </c>
      <c r="CI266" s="4" t="str">
        <f>"22,00"</f>
        <v>22,00</v>
      </c>
      <c r="CJ266" s="4" t="str">
        <f>"2032-2034"</f>
        <v>2032-2034</v>
      </c>
    </row>
    <row r="267" spans="1:88" ht="11.25" customHeight="1">
      <c r="A267" s="45" t="str">
        <f>"24.254"</f>
        <v>24.254</v>
      </c>
      <c r="B267" s="46" t="str">
        <f>"п. Ситинский, ул. Мира, д.7"</f>
        <v>п. Ситинский, ул. Мира, д.7</v>
      </c>
      <c r="C267" s="6" t="str">
        <f>"1985"</f>
        <v>1985</v>
      </c>
      <c r="D267" s="4" t="str">
        <f>"1987"</f>
        <v>1987</v>
      </c>
      <c r="E267" s="4" t="str">
        <f>"35,00"</f>
        <v>35,00</v>
      </c>
      <c r="F267" s="4" t="str">
        <f>"2030-2032"</f>
        <v>2030-2032</v>
      </c>
      <c r="G267" s="4" t="str">
        <f>"да"</f>
        <v>да</v>
      </c>
      <c r="H267" s="4" t="str">
        <f>"2013"</f>
        <v>2013</v>
      </c>
      <c r="I267" s="4" t="str">
        <f>"1,00"</f>
        <v>1,00</v>
      </c>
      <c r="J267" s="4" t="str">
        <f>"2030-2032"</f>
        <v>2030-2032</v>
      </c>
      <c r="K267" s="4" t="str">
        <f t="shared" si="235"/>
        <v>нет</v>
      </c>
      <c r="L267" s="4" t="str">
        <f>""</f>
        <v/>
      </c>
      <c r="M267" s="4" t="str">
        <f>""</f>
        <v/>
      </c>
      <c r="N267" s="4" t="str">
        <f>""</f>
        <v/>
      </c>
      <c r="O267" s="7" t="str">
        <f>"1985"</f>
        <v>1985</v>
      </c>
      <c r="P267" s="4" t="str">
        <f>"35,00"</f>
        <v>35,00</v>
      </c>
      <c r="Q267" s="4" t="str">
        <f>"2030-2032"</f>
        <v>2030-2032</v>
      </c>
      <c r="R267" s="4" t="str">
        <f t="shared" si="291"/>
        <v>нет</v>
      </c>
      <c r="S267" s="4" t="str">
        <f>""</f>
        <v/>
      </c>
      <c r="T267" s="4" t="str">
        <f>""</f>
        <v/>
      </c>
      <c r="U267" s="4" t="str">
        <f>""</f>
        <v/>
      </c>
      <c r="V267" s="4" t="str">
        <f t="shared" si="284"/>
        <v>нет</v>
      </c>
      <c r="W267" s="4" t="str">
        <f>""</f>
        <v/>
      </c>
      <c r="X267" s="4" t="str">
        <f>""</f>
        <v/>
      </c>
      <c r="Y267" s="8" t="str">
        <f>""</f>
        <v/>
      </c>
      <c r="Z267" s="4" t="str">
        <f t="shared" ref="Z267:AJ280" si="298">"х"</f>
        <v>х</v>
      </c>
      <c r="AA267" s="4" t="str">
        <f t="shared" si="298"/>
        <v>х</v>
      </c>
      <c r="AB267" s="4" t="str">
        <f t="shared" si="298"/>
        <v>х</v>
      </c>
      <c r="AC267" s="4" t="str">
        <f t="shared" si="298"/>
        <v>х</v>
      </c>
      <c r="AD267" s="4" t="str">
        <f t="shared" si="298"/>
        <v>х</v>
      </c>
      <c r="AE267" s="4" t="str">
        <f t="shared" si="298"/>
        <v>х</v>
      </c>
      <c r="AF267" s="4" t="str">
        <f t="shared" si="298"/>
        <v>х</v>
      </c>
      <c r="AG267" s="4" t="str">
        <f t="shared" si="298"/>
        <v>х</v>
      </c>
      <c r="AH267" s="4" t="str">
        <f t="shared" si="298"/>
        <v>х</v>
      </c>
      <c r="AI267" s="4" t="str">
        <f t="shared" si="298"/>
        <v>х</v>
      </c>
      <c r="AJ267" s="4" t="str">
        <f t="shared" si="298"/>
        <v>х</v>
      </c>
      <c r="AK267" s="7" t="str">
        <f>"1985"</f>
        <v>1985</v>
      </c>
      <c r="AL267" s="4" t="str">
        <f>"35,00"</f>
        <v>35,00</v>
      </c>
      <c r="AM267" s="4" t="str">
        <f>"2030-2032"</f>
        <v>2030-2032</v>
      </c>
      <c r="AN267" s="4" t="str">
        <f t="shared" si="293"/>
        <v>нет</v>
      </c>
      <c r="AO267" s="4" t="str">
        <f>""</f>
        <v/>
      </c>
      <c r="AP267" s="4" t="str">
        <f>""</f>
        <v/>
      </c>
      <c r="AQ267" s="4" t="str">
        <f>""</f>
        <v/>
      </c>
      <c r="AR267" s="4" t="str">
        <f t="shared" si="294"/>
        <v>нет</v>
      </c>
      <c r="AS267" s="4" t="str">
        <f>""</f>
        <v/>
      </c>
      <c r="AT267" s="4" t="str">
        <f>""</f>
        <v/>
      </c>
      <c r="AU267" s="4" t="str">
        <f>""</f>
        <v/>
      </c>
      <c r="AV267" s="4" t="str">
        <f>""</f>
        <v/>
      </c>
      <c r="AW267" s="4" t="str">
        <f>""</f>
        <v/>
      </c>
      <c r="AX267" s="4" t="str">
        <f>""</f>
        <v/>
      </c>
      <c r="AY267" s="4" t="str">
        <f>""</f>
        <v/>
      </c>
      <c r="AZ267" s="4" t="str">
        <f>""</f>
        <v/>
      </c>
      <c r="BA267" s="4" t="str">
        <f>""</f>
        <v/>
      </c>
      <c r="BB267" s="4" t="str">
        <f>""</f>
        <v/>
      </c>
      <c r="BC267" s="4" t="str">
        <f>""</f>
        <v/>
      </c>
      <c r="BD267" s="4" t="str">
        <f>""</f>
        <v/>
      </c>
      <c r="BE267" s="4" t="str">
        <f>""</f>
        <v/>
      </c>
      <c r="BF267" s="4" t="str">
        <f>""</f>
        <v/>
      </c>
      <c r="BG267" s="4" t="str">
        <f>"1985"</f>
        <v>1985</v>
      </c>
      <c r="BH267" s="4" t="str">
        <f>"35,00"</f>
        <v>35,00</v>
      </c>
      <c r="BI267" s="4" t="str">
        <f>"2030-2032"</f>
        <v>2030-2032</v>
      </c>
      <c r="BJ267" s="4" t="str">
        <f t="shared" si="296"/>
        <v>нет</v>
      </c>
      <c r="BK267" s="4" t="str">
        <f>""</f>
        <v/>
      </c>
      <c r="BL267" s="4" t="str">
        <f>""</f>
        <v/>
      </c>
      <c r="BM267" s="4" t="str">
        <f>""</f>
        <v/>
      </c>
      <c r="BN267" s="4" t="str">
        <f t="shared" si="297"/>
        <v>нет</v>
      </c>
      <c r="BO267" s="4" t="str">
        <f>""</f>
        <v/>
      </c>
      <c r="BP267" s="4" t="str">
        <f>""</f>
        <v/>
      </c>
      <c r="BQ267" s="4" t="str">
        <f>""</f>
        <v/>
      </c>
      <c r="BR267" s="4" t="str">
        <f>"1985"</f>
        <v>1985</v>
      </c>
      <c r="BS267" s="4" t="str">
        <f>"40,00"</f>
        <v>40,00</v>
      </c>
      <c r="BT267" s="4" t="str">
        <f>"2030-2032"</f>
        <v>2030-2032</v>
      </c>
      <c r="BU267" s="4" t="str">
        <f t="shared" si="237"/>
        <v>нет</v>
      </c>
      <c r="BV267" s="4" t="str">
        <f t="shared" si="283"/>
        <v>x</v>
      </c>
      <c r="BW267" s="4" t="str">
        <f t="shared" si="283"/>
        <v>x</v>
      </c>
      <c r="BX267" s="4" t="str">
        <f t="shared" si="283"/>
        <v>x</v>
      </c>
      <c r="BY267" s="4" t="str">
        <f t="shared" ref="BY267:BY275" si="299">"нет"</f>
        <v>нет</v>
      </c>
      <c r="BZ267" s="4" t="str">
        <f t="shared" ref="BZ267:CB272" si="300">"x"</f>
        <v>x</v>
      </c>
      <c r="CA267" s="4" t="str">
        <f t="shared" si="300"/>
        <v>x</v>
      </c>
      <c r="CB267" s="4" t="str">
        <f t="shared" si="300"/>
        <v>x</v>
      </c>
      <c r="CC267" s="4" t="str">
        <f>"1985"</f>
        <v>1985</v>
      </c>
      <c r="CD267" s="4" t="str">
        <f>"20,00"</f>
        <v>20,00</v>
      </c>
      <c r="CE267" s="4" t="str">
        <f>"2030-2032"</f>
        <v>2030-2032</v>
      </c>
      <c r="CF267" s="4" t="str">
        <f>"1985"</f>
        <v>1985</v>
      </c>
      <c r="CG267" s="4" t="str">
        <f>"15,00"</f>
        <v>15,00</v>
      </c>
      <c r="CH267" s="4" t="str">
        <f>"2030-2032"</f>
        <v>2030-2032</v>
      </c>
      <c r="CI267" s="4" t="str">
        <f>"26,00"</f>
        <v>26,00</v>
      </c>
      <c r="CJ267" s="4" t="str">
        <f>"2030-2032"</f>
        <v>2030-2032</v>
      </c>
    </row>
    <row r="268" spans="1:88" ht="11.25" customHeight="1">
      <c r="A268" s="45" t="str">
        <f>"24.255"</f>
        <v>24.255</v>
      </c>
      <c r="B268" s="46" t="str">
        <f>"п. Ситинский, ул. Мира, д.8"</f>
        <v>п. Ситинский, ул. Мира, д.8</v>
      </c>
      <c r="C268" s="6" t="str">
        <f>"1984"</f>
        <v>1984</v>
      </c>
      <c r="D268" s="4" t="str">
        <f>"1984"</f>
        <v>1984</v>
      </c>
      <c r="E268" s="4" t="str">
        <f>"40,00"</f>
        <v>40,00</v>
      </c>
      <c r="F268" s="4" t="str">
        <f>"2030-2032"</f>
        <v>2030-2032</v>
      </c>
      <c r="G268" s="4" t="str">
        <f>"да"</f>
        <v>да</v>
      </c>
      <c r="H268" s="4" t="str">
        <f>"2013"</f>
        <v>2013</v>
      </c>
      <c r="I268" s="4" t="str">
        <f>"1,00"</f>
        <v>1,00</v>
      </c>
      <c r="J268" s="4" t="str">
        <f>"2030-2032"</f>
        <v>2030-2032</v>
      </c>
      <c r="K268" s="4" t="str">
        <f t="shared" si="235"/>
        <v>нет</v>
      </c>
      <c r="L268" s="4" t="str">
        <f>""</f>
        <v/>
      </c>
      <c r="M268" s="4" t="str">
        <f>""</f>
        <v/>
      </c>
      <c r="N268" s="4" t="str">
        <f>""</f>
        <v/>
      </c>
      <c r="O268" s="7" t="str">
        <f>"1984"</f>
        <v>1984</v>
      </c>
      <c r="P268" s="4" t="str">
        <f>"40,00"</f>
        <v>40,00</v>
      </c>
      <c r="Q268" s="4" t="str">
        <f>"2030-2032"</f>
        <v>2030-2032</v>
      </c>
      <c r="R268" s="4" t="str">
        <f>"да"</f>
        <v>да</v>
      </c>
      <c r="S268" s="4" t="str">
        <f>"2012"</f>
        <v>2012</v>
      </c>
      <c r="T268" s="4" t="str">
        <f>"30,00"</f>
        <v>30,00</v>
      </c>
      <c r="U268" s="4" t="str">
        <f>"2030-2032"</f>
        <v>2030-2032</v>
      </c>
      <c r="V268" s="4" t="str">
        <f t="shared" si="284"/>
        <v>нет</v>
      </c>
      <c r="W268" s="4" t="str">
        <f>""</f>
        <v/>
      </c>
      <c r="X268" s="4" t="str">
        <f>""</f>
        <v/>
      </c>
      <c r="Y268" s="8" t="str">
        <f>""</f>
        <v/>
      </c>
      <c r="Z268" s="4" t="str">
        <f t="shared" si="298"/>
        <v>х</v>
      </c>
      <c r="AA268" s="4" t="str">
        <f t="shared" si="298"/>
        <v>х</v>
      </c>
      <c r="AB268" s="4" t="str">
        <f t="shared" si="298"/>
        <v>х</v>
      </c>
      <c r="AC268" s="4" t="str">
        <f t="shared" si="298"/>
        <v>х</v>
      </c>
      <c r="AD268" s="4" t="str">
        <f t="shared" si="298"/>
        <v>х</v>
      </c>
      <c r="AE268" s="4" t="str">
        <f t="shared" si="298"/>
        <v>х</v>
      </c>
      <c r="AF268" s="4" t="str">
        <f t="shared" si="298"/>
        <v>х</v>
      </c>
      <c r="AG268" s="4" t="str">
        <f t="shared" si="298"/>
        <v>х</v>
      </c>
      <c r="AH268" s="4" t="str">
        <f t="shared" si="298"/>
        <v>х</v>
      </c>
      <c r="AI268" s="4" t="str">
        <f t="shared" si="298"/>
        <v>х</v>
      </c>
      <c r="AJ268" s="4" t="str">
        <f t="shared" si="298"/>
        <v>х</v>
      </c>
      <c r="AK268" s="7" t="str">
        <f>"1984"</f>
        <v>1984</v>
      </c>
      <c r="AL268" s="4" t="str">
        <f>"40,00"</f>
        <v>40,00</v>
      </c>
      <c r="AM268" s="4" t="str">
        <f>"2030-2032"</f>
        <v>2030-2032</v>
      </c>
      <c r="AN268" s="4" t="str">
        <f t="shared" si="293"/>
        <v>нет</v>
      </c>
      <c r="AO268" s="4" t="str">
        <f>""</f>
        <v/>
      </c>
      <c r="AP268" s="4" t="str">
        <f>""</f>
        <v/>
      </c>
      <c r="AQ268" s="4" t="str">
        <f>""</f>
        <v/>
      </c>
      <c r="AR268" s="4" t="str">
        <f t="shared" si="294"/>
        <v>нет</v>
      </c>
      <c r="AS268" s="4" t="str">
        <f>""</f>
        <v/>
      </c>
      <c r="AT268" s="4" t="str">
        <f>""</f>
        <v/>
      </c>
      <c r="AU268" s="4" t="str">
        <f>""</f>
        <v/>
      </c>
      <c r="AV268" s="4" t="str">
        <f t="shared" ref="AV268:BF275" si="301">"х"</f>
        <v>х</v>
      </c>
      <c r="AW268" s="4" t="str">
        <f t="shared" si="301"/>
        <v>х</v>
      </c>
      <c r="AX268" s="4" t="str">
        <f t="shared" si="301"/>
        <v>х</v>
      </c>
      <c r="AY268" s="4" t="str">
        <f t="shared" si="301"/>
        <v>х</v>
      </c>
      <c r="AZ268" s="4" t="str">
        <f t="shared" si="301"/>
        <v>х</v>
      </c>
      <c r="BA268" s="4" t="str">
        <f t="shared" si="301"/>
        <v>х</v>
      </c>
      <c r="BB268" s="4" t="str">
        <f t="shared" si="301"/>
        <v>х</v>
      </c>
      <c r="BC268" s="4" t="str">
        <f t="shared" si="301"/>
        <v>х</v>
      </c>
      <c r="BD268" s="4" t="str">
        <f t="shared" si="301"/>
        <v>х</v>
      </c>
      <c r="BE268" s="4" t="str">
        <f t="shared" si="301"/>
        <v>х</v>
      </c>
      <c r="BF268" s="4" t="str">
        <f t="shared" si="301"/>
        <v>х</v>
      </c>
      <c r="BG268" s="4" t="str">
        <f>"1984"</f>
        <v>1984</v>
      </c>
      <c r="BH268" s="4" t="str">
        <f>"40,00"</f>
        <v>40,00</v>
      </c>
      <c r="BI268" s="4" t="str">
        <f>"2030-2032"</f>
        <v>2030-2032</v>
      </c>
      <c r="BJ268" s="4" t="str">
        <f t="shared" si="296"/>
        <v>нет</v>
      </c>
      <c r="BK268" s="4" t="str">
        <f>""</f>
        <v/>
      </c>
      <c r="BL268" s="4" t="str">
        <f>""</f>
        <v/>
      </c>
      <c r="BM268" s="4" t="str">
        <f>""</f>
        <v/>
      </c>
      <c r="BN268" s="4" t="str">
        <f t="shared" si="297"/>
        <v>нет</v>
      </c>
      <c r="BO268" s="4" t="str">
        <f>""</f>
        <v/>
      </c>
      <c r="BP268" s="4" t="str">
        <f>""</f>
        <v/>
      </c>
      <c r="BQ268" s="4" t="str">
        <f>""</f>
        <v/>
      </c>
      <c r="BR268" s="4" t="str">
        <f>"1984"</f>
        <v>1984</v>
      </c>
      <c r="BS268" s="4" t="str">
        <f>"40,00"</f>
        <v>40,00</v>
      </c>
      <c r="BT268" s="4" t="str">
        <f>"2016-2018"</f>
        <v>2016-2018</v>
      </c>
      <c r="BU268" s="4" t="str">
        <f t="shared" si="237"/>
        <v>нет</v>
      </c>
      <c r="BV268" s="4" t="str">
        <f t="shared" si="283"/>
        <v>x</v>
      </c>
      <c r="BW268" s="4" t="str">
        <f t="shared" si="283"/>
        <v>x</v>
      </c>
      <c r="BX268" s="4" t="str">
        <f t="shared" si="283"/>
        <v>x</v>
      </c>
      <c r="BY268" s="4" t="str">
        <f t="shared" si="299"/>
        <v>нет</v>
      </c>
      <c r="BZ268" s="4" t="str">
        <f t="shared" si="300"/>
        <v>x</v>
      </c>
      <c r="CA268" s="4" t="str">
        <f t="shared" si="300"/>
        <v>x</v>
      </c>
      <c r="CB268" s="4" t="str">
        <f t="shared" si="300"/>
        <v>x</v>
      </c>
      <c r="CC268" s="4" t="str">
        <f>"1984"</f>
        <v>1984</v>
      </c>
      <c r="CD268" s="4" t="str">
        <f>"20,00"</f>
        <v>20,00</v>
      </c>
      <c r="CE268" s="4" t="str">
        <f>"2030-2032"</f>
        <v>2030-2032</v>
      </c>
      <c r="CF268" s="4" t="str">
        <f>"1984"</f>
        <v>1984</v>
      </c>
      <c r="CG268" s="4" t="str">
        <f>"15,00"</f>
        <v>15,00</v>
      </c>
      <c r="CH268" s="4" t="str">
        <f>"2030-2032"</f>
        <v>2030-2032</v>
      </c>
      <c r="CI268" s="4" t="str">
        <f>"27,00"</f>
        <v>27,00</v>
      </c>
      <c r="CJ268" s="4" t="str">
        <f>"2030-2032"</f>
        <v>2030-2032</v>
      </c>
    </row>
    <row r="269" spans="1:88" ht="11.25" customHeight="1">
      <c r="A269" s="45" t="str">
        <f>"24.256"</f>
        <v>24.256</v>
      </c>
      <c r="B269" s="46" t="str">
        <f>"п.Пундуга, д.23 "</f>
        <v xml:space="preserve">п.Пундуга, д.23 </v>
      </c>
      <c r="C269" s="6" t="str">
        <f>"1968"</f>
        <v>1968</v>
      </c>
      <c r="D269" s="4" t="str">
        <f>"1968"</f>
        <v>1968</v>
      </c>
      <c r="E269" s="4" t="str">
        <f>"55,00"</f>
        <v>55,00</v>
      </c>
      <c r="F269" s="4" t="str">
        <f>"2023-2025"</f>
        <v>2023-2025</v>
      </c>
      <c r="G269" s="4" t="str">
        <f>"да"</f>
        <v>да</v>
      </c>
      <c r="H269" s="4" t="str">
        <f>"2013"</f>
        <v>2013</v>
      </c>
      <c r="I269" s="4" t="str">
        <f>"1,00"</f>
        <v>1,00</v>
      </c>
      <c r="J269" s="4" t="str">
        <f>"2023-2025"</f>
        <v>2023-2025</v>
      </c>
      <c r="K269" s="4" t="str">
        <f t="shared" si="235"/>
        <v>нет</v>
      </c>
      <c r="L269" s="4" t="str">
        <f>""</f>
        <v/>
      </c>
      <c r="M269" s="4" t="str">
        <f>""</f>
        <v/>
      </c>
      <c r="N269" s="4" t="str">
        <f>""</f>
        <v/>
      </c>
      <c r="O269" s="7" t="str">
        <f>"1968"</f>
        <v>1968</v>
      </c>
      <c r="P269" s="4" t="str">
        <f>"50,00"</f>
        <v>50,00</v>
      </c>
      <c r="Q269" s="4" t="str">
        <f>"2023-2025"</f>
        <v>2023-2025</v>
      </c>
      <c r="R269" s="4" t="str">
        <f>"нет"</f>
        <v>нет</v>
      </c>
      <c r="S269" s="4" t="str">
        <f>""</f>
        <v/>
      </c>
      <c r="T269" s="4" t="str">
        <f>""</f>
        <v/>
      </c>
      <c r="U269" s="4" t="str">
        <f>""</f>
        <v/>
      </c>
      <c r="V269" s="4" t="str">
        <f t="shared" si="284"/>
        <v>нет</v>
      </c>
      <c r="W269" s="4" t="str">
        <f>""</f>
        <v/>
      </c>
      <c r="X269" s="4" t="str">
        <f>""</f>
        <v/>
      </c>
      <c r="Y269" s="8" t="str">
        <f>""</f>
        <v/>
      </c>
      <c r="Z269" s="4" t="str">
        <f t="shared" si="298"/>
        <v>х</v>
      </c>
      <c r="AA269" s="4" t="str">
        <f t="shared" si="298"/>
        <v>х</v>
      </c>
      <c r="AB269" s="4" t="str">
        <f t="shared" si="298"/>
        <v>х</v>
      </c>
      <c r="AC269" s="4" t="str">
        <f t="shared" si="298"/>
        <v>х</v>
      </c>
      <c r="AD269" s="4" t="str">
        <f t="shared" si="298"/>
        <v>х</v>
      </c>
      <c r="AE269" s="4" t="str">
        <f t="shared" si="298"/>
        <v>х</v>
      </c>
      <c r="AF269" s="4" t="str">
        <f t="shared" si="298"/>
        <v>х</v>
      </c>
      <c r="AG269" s="4" t="str">
        <f t="shared" si="298"/>
        <v>х</v>
      </c>
      <c r="AH269" s="4" t="str">
        <f t="shared" si="298"/>
        <v>х</v>
      </c>
      <c r="AI269" s="4" t="str">
        <f t="shared" si="298"/>
        <v>х</v>
      </c>
      <c r="AJ269" s="4" t="str">
        <f t="shared" si="298"/>
        <v>х</v>
      </c>
      <c r="AK269" s="7" t="str">
        <f>"1968"</f>
        <v>1968</v>
      </c>
      <c r="AL269" s="4" t="str">
        <f>"55,00"</f>
        <v>55,00</v>
      </c>
      <c r="AM269" s="4" t="str">
        <f>"2023-2025"</f>
        <v>2023-2025</v>
      </c>
      <c r="AN269" s="4" t="str">
        <f t="shared" si="293"/>
        <v>нет</v>
      </c>
      <c r="AO269" s="4" t="str">
        <f>""</f>
        <v/>
      </c>
      <c r="AP269" s="4" t="str">
        <f>""</f>
        <v/>
      </c>
      <c r="AQ269" s="4" t="str">
        <f>""</f>
        <v/>
      </c>
      <c r="AR269" s="4" t="str">
        <f t="shared" si="294"/>
        <v>нет</v>
      </c>
      <c r="AS269" s="4" t="str">
        <f>""</f>
        <v/>
      </c>
      <c r="AT269" s="4" t="str">
        <f>""</f>
        <v/>
      </c>
      <c r="AU269" s="4" t="str">
        <f>""</f>
        <v/>
      </c>
      <c r="AV269" s="4" t="str">
        <f t="shared" si="301"/>
        <v>х</v>
      </c>
      <c r="AW269" s="4" t="str">
        <f t="shared" si="301"/>
        <v>х</v>
      </c>
      <c r="AX269" s="4" t="str">
        <f t="shared" si="301"/>
        <v>х</v>
      </c>
      <c r="AY269" s="4" t="str">
        <f t="shared" si="301"/>
        <v>х</v>
      </c>
      <c r="AZ269" s="4" t="str">
        <f t="shared" si="301"/>
        <v>х</v>
      </c>
      <c r="BA269" s="4" t="str">
        <f t="shared" si="301"/>
        <v>х</v>
      </c>
      <c r="BB269" s="4" t="str">
        <f t="shared" si="301"/>
        <v>х</v>
      </c>
      <c r="BC269" s="4" t="str">
        <f t="shared" si="301"/>
        <v>х</v>
      </c>
      <c r="BD269" s="4" t="str">
        <f t="shared" si="301"/>
        <v>х</v>
      </c>
      <c r="BE269" s="4" t="str">
        <f t="shared" si="301"/>
        <v>х</v>
      </c>
      <c r="BF269" s="4" t="str">
        <f t="shared" si="301"/>
        <v>х</v>
      </c>
      <c r="BG269" s="4" t="str">
        <f>"1968"</f>
        <v>1968</v>
      </c>
      <c r="BH269" s="4" t="str">
        <f>"55,00"</f>
        <v>55,00</v>
      </c>
      <c r="BI269" s="4" t="str">
        <f>"2023-2025"</f>
        <v>2023-2025</v>
      </c>
      <c r="BJ269" s="4" t="str">
        <f t="shared" si="296"/>
        <v>нет</v>
      </c>
      <c r="BK269" s="4" t="str">
        <f>""</f>
        <v/>
      </c>
      <c r="BL269" s="4" t="str">
        <f>""</f>
        <v/>
      </c>
      <c r="BM269" s="4" t="str">
        <f>""</f>
        <v/>
      </c>
      <c r="BN269" s="4" t="str">
        <f t="shared" si="297"/>
        <v>нет</v>
      </c>
      <c r="BO269" s="4" t="str">
        <f>""</f>
        <v/>
      </c>
      <c r="BP269" s="4" t="str">
        <f>""</f>
        <v/>
      </c>
      <c r="BQ269" s="4" t="str">
        <f>""</f>
        <v/>
      </c>
      <c r="BR269" s="4" t="str">
        <f>"1968"</f>
        <v>1968</v>
      </c>
      <c r="BS269" s="4" t="str">
        <f>"25,00"</f>
        <v>25,00</v>
      </c>
      <c r="BT269" s="4" t="str">
        <f>"2023-2025"</f>
        <v>2023-2025</v>
      </c>
      <c r="BU269" s="4" t="str">
        <f t="shared" si="237"/>
        <v>нет</v>
      </c>
      <c r="BV269" s="4" t="str">
        <f t="shared" si="283"/>
        <v>x</v>
      </c>
      <c r="BW269" s="4" t="str">
        <f t="shared" si="283"/>
        <v>x</v>
      </c>
      <c r="BX269" s="4" t="str">
        <f t="shared" si="283"/>
        <v>x</v>
      </c>
      <c r="BY269" s="4" t="str">
        <f t="shared" si="299"/>
        <v>нет</v>
      </c>
      <c r="BZ269" s="4" t="str">
        <f t="shared" si="300"/>
        <v>x</v>
      </c>
      <c r="CA269" s="4" t="str">
        <f t="shared" si="300"/>
        <v>x</v>
      </c>
      <c r="CB269" s="4" t="str">
        <f t="shared" si="300"/>
        <v>x</v>
      </c>
      <c r="CC269" s="4" t="str">
        <f>"1968"</f>
        <v>1968</v>
      </c>
      <c r="CD269" s="4" t="str">
        <f>"50,00"</f>
        <v>50,00</v>
      </c>
      <c r="CE269" s="4" t="str">
        <f>"2023-2025"</f>
        <v>2023-2025</v>
      </c>
      <c r="CF269" s="4" t="str">
        <f>"1968"</f>
        <v>1968</v>
      </c>
      <c r="CG269" s="4" t="str">
        <f>"40,00"</f>
        <v>40,00</v>
      </c>
      <c r="CH269" s="4" t="str">
        <f>"2023-2025"</f>
        <v>2023-2025</v>
      </c>
      <c r="CI269" s="4" t="str">
        <f>"44,00"</f>
        <v>44,00</v>
      </c>
      <c r="CJ269" s="4" t="str">
        <f>"2023-2025"</f>
        <v>2023-2025</v>
      </c>
    </row>
    <row r="270" spans="1:88" ht="11.25" customHeight="1">
      <c r="A270" s="45" t="str">
        <f>"24.257"</f>
        <v>24.257</v>
      </c>
      <c r="B270" s="46" t="str">
        <f>"п.Пундуга, д.25"</f>
        <v>п.Пундуга, д.25</v>
      </c>
      <c r="C270" s="6" t="str">
        <f>"1966"</f>
        <v>1966</v>
      </c>
      <c r="D270" s="4" t="str">
        <f>"1966"</f>
        <v>1966</v>
      </c>
      <c r="E270" s="4" t="str">
        <f>"60,00"</f>
        <v>60,00</v>
      </c>
      <c r="F270" s="4" t="str">
        <f>"2016-2018"</f>
        <v>2016-2018</v>
      </c>
      <c r="G270" s="4" t="str">
        <f>"нет"</f>
        <v>нет</v>
      </c>
      <c r="H270" s="4" t="str">
        <f>""</f>
        <v/>
      </c>
      <c r="I270" s="4" t="str">
        <f>""</f>
        <v/>
      </c>
      <c r="J270" s="4" t="str">
        <f>""</f>
        <v/>
      </c>
      <c r="K270" s="4" t="str">
        <f t="shared" ref="K270:K280" si="302">"нет"</f>
        <v>нет</v>
      </c>
      <c r="L270" s="4" t="str">
        <f>""</f>
        <v/>
      </c>
      <c r="M270" s="4" t="str">
        <f>""</f>
        <v/>
      </c>
      <c r="N270" s="4" t="str">
        <f>""</f>
        <v/>
      </c>
      <c r="O270" s="7" t="str">
        <f>"1966"</f>
        <v>1966</v>
      </c>
      <c r="P270" s="4" t="str">
        <f>"60,00"</f>
        <v>60,00</v>
      </c>
      <c r="Q270" s="4" t="str">
        <f>"2016-2018"</f>
        <v>2016-2018</v>
      </c>
      <c r="R270" s="4" t="str">
        <f>"нет"</f>
        <v>нет</v>
      </c>
      <c r="S270" s="4" t="str">
        <f>""</f>
        <v/>
      </c>
      <c r="T270" s="4" t="str">
        <f>""</f>
        <v/>
      </c>
      <c r="U270" s="4" t="str">
        <f>""</f>
        <v/>
      </c>
      <c r="V270" s="4" t="str">
        <f t="shared" si="284"/>
        <v>нет</v>
      </c>
      <c r="W270" s="4" t="str">
        <f>""</f>
        <v/>
      </c>
      <c r="X270" s="4" t="str">
        <f>""</f>
        <v/>
      </c>
      <c r="Y270" s="8" t="str">
        <f>""</f>
        <v/>
      </c>
      <c r="Z270" s="4" t="str">
        <f t="shared" si="298"/>
        <v>х</v>
      </c>
      <c r="AA270" s="4" t="str">
        <f t="shared" si="298"/>
        <v>х</v>
      </c>
      <c r="AB270" s="4" t="str">
        <f t="shared" si="298"/>
        <v>х</v>
      </c>
      <c r="AC270" s="4" t="str">
        <f t="shared" si="298"/>
        <v>х</v>
      </c>
      <c r="AD270" s="4" t="str">
        <f t="shared" si="298"/>
        <v>х</v>
      </c>
      <c r="AE270" s="4" t="str">
        <f t="shared" si="298"/>
        <v>х</v>
      </c>
      <c r="AF270" s="4" t="str">
        <f t="shared" si="298"/>
        <v>х</v>
      </c>
      <c r="AG270" s="4" t="str">
        <f t="shared" si="298"/>
        <v>х</v>
      </c>
      <c r="AH270" s="4" t="str">
        <f t="shared" si="298"/>
        <v>х</v>
      </c>
      <c r="AI270" s="4" t="str">
        <f t="shared" si="298"/>
        <v>х</v>
      </c>
      <c r="AJ270" s="4" t="str">
        <f t="shared" si="298"/>
        <v>х</v>
      </c>
      <c r="AK270" s="7" t="str">
        <f>"1966"</f>
        <v>1966</v>
      </c>
      <c r="AL270" s="4" t="str">
        <f>"60,00"</f>
        <v>60,00</v>
      </c>
      <c r="AM270" s="4" t="str">
        <f>"2016-2018"</f>
        <v>2016-2018</v>
      </c>
      <c r="AN270" s="4" t="str">
        <f t="shared" si="293"/>
        <v>нет</v>
      </c>
      <c r="AO270" s="4" t="str">
        <f>""</f>
        <v/>
      </c>
      <c r="AP270" s="4" t="str">
        <f>""</f>
        <v/>
      </c>
      <c r="AQ270" s="4" t="str">
        <f>""</f>
        <v/>
      </c>
      <c r="AR270" s="4" t="str">
        <f t="shared" si="294"/>
        <v>нет</v>
      </c>
      <c r="AS270" s="4" t="str">
        <f>""</f>
        <v/>
      </c>
      <c r="AT270" s="4" t="str">
        <f>""</f>
        <v/>
      </c>
      <c r="AU270" s="4" t="str">
        <f>""</f>
        <v/>
      </c>
      <c r="AV270" s="4" t="str">
        <f t="shared" si="301"/>
        <v>х</v>
      </c>
      <c r="AW270" s="4" t="str">
        <f t="shared" si="301"/>
        <v>х</v>
      </c>
      <c r="AX270" s="4" t="str">
        <f t="shared" si="301"/>
        <v>х</v>
      </c>
      <c r="AY270" s="4" t="str">
        <f t="shared" si="301"/>
        <v>х</v>
      </c>
      <c r="AZ270" s="4" t="str">
        <f t="shared" si="301"/>
        <v>х</v>
      </c>
      <c r="BA270" s="4" t="str">
        <f t="shared" si="301"/>
        <v>х</v>
      </c>
      <c r="BB270" s="4" t="str">
        <f t="shared" si="301"/>
        <v>х</v>
      </c>
      <c r="BC270" s="4" t="str">
        <f t="shared" si="301"/>
        <v>х</v>
      </c>
      <c r="BD270" s="4" t="str">
        <f t="shared" si="301"/>
        <v>х</v>
      </c>
      <c r="BE270" s="4" t="str">
        <f t="shared" si="301"/>
        <v>х</v>
      </c>
      <c r="BF270" s="4" t="str">
        <f t="shared" si="301"/>
        <v>х</v>
      </c>
      <c r="BG270" s="4" t="str">
        <f>"1966"</f>
        <v>1966</v>
      </c>
      <c r="BH270" s="4" t="str">
        <f>"60,00"</f>
        <v>60,00</v>
      </c>
      <c r="BI270" s="4" t="str">
        <f>"2016-2018"</f>
        <v>2016-2018</v>
      </c>
      <c r="BJ270" s="4" t="str">
        <f t="shared" si="296"/>
        <v>нет</v>
      </c>
      <c r="BK270" s="4" t="str">
        <f>""</f>
        <v/>
      </c>
      <c r="BL270" s="4" t="str">
        <f>""</f>
        <v/>
      </c>
      <c r="BM270" s="4" t="str">
        <f>""</f>
        <v/>
      </c>
      <c r="BN270" s="4" t="str">
        <f t="shared" si="297"/>
        <v>нет</v>
      </c>
      <c r="BO270" s="4" t="str">
        <f>""</f>
        <v/>
      </c>
      <c r="BP270" s="4" t="str">
        <f>""</f>
        <v/>
      </c>
      <c r="BQ270" s="4" t="str">
        <f>""</f>
        <v/>
      </c>
      <c r="BR270" s="4" t="str">
        <f>"1966"</f>
        <v>1966</v>
      </c>
      <c r="BS270" s="4" t="str">
        <f>"65,00"</f>
        <v>65,00</v>
      </c>
      <c r="BT270" s="4" t="str">
        <f>"2016-2018"</f>
        <v>2016-2018</v>
      </c>
      <c r="BU270" s="4" t="str">
        <f t="shared" ref="BU270:BU280" si="303">"нет"</f>
        <v>нет</v>
      </c>
      <c r="BV270" s="4" t="str">
        <f t="shared" si="283"/>
        <v>x</v>
      </c>
      <c r="BW270" s="4" t="str">
        <f t="shared" si="283"/>
        <v>x</v>
      </c>
      <c r="BX270" s="4" t="str">
        <f t="shared" si="283"/>
        <v>x</v>
      </c>
      <c r="BY270" s="4" t="str">
        <f t="shared" si="299"/>
        <v>нет</v>
      </c>
      <c r="BZ270" s="4" t="str">
        <f t="shared" si="300"/>
        <v>x</v>
      </c>
      <c r="CA270" s="4" t="str">
        <f t="shared" si="300"/>
        <v>x</v>
      </c>
      <c r="CB270" s="4" t="str">
        <f t="shared" si="300"/>
        <v>x</v>
      </c>
      <c r="CC270" s="4" t="str">
        <f>"1966"</f>
        <v>1966</v>
      </c>
      <c r="CD270" s="4" t="str">
        <f>"70,00"</f>
        <v>70,00</v>
      </c>
      <c r="CE270" s="4" t="str">
        <f>"2016-2018"</f>
        <v>2016-2018</v>
      </c>
      <c r="CF270" s="4" t="str">
        <f>"1966"</f>
        <v>1966</v>
      </c>
      <c r="CG270" s="4" t="str">
        <f>"60,00"</f>
        <v>60,00</v>
      </c>
      <c r="CH270" s="4" t="str">
        <f>"2016-2018"</f>
        <v>2016-2018</v>
      </c>
      <c r="CI270" s="4" t="str">
        <f>"65,00"</f>
        <v>65,00</v>
      </c>
      <c r="CJ270" s="4" t="str">
        <f>"2016-2018"</f>
        <v>2016-2018</v>
      </c>
    </row>
    <row r="271" spans="1:88" ht="11.25" customHeight="1">
      <c r="A271" s="45" t="str">
        <f>"24.258"</f>
        <v>24.258</v>
      </c>
      <c r="B271" s="46" t="str">
        <f>"п.Пундуга, д.27"</f>
        <v>п.Пундуга, д.27</v>
      </c>
      <c r="C271" s="6" t="str">
        <f>"1977"</f>
        <v>1977</v>
      </c>
      <c r="D271" s="4" t="str">
        <f>"1977"</f>
        <v>1977</v>
      </c>
      <c r="E271" s="4" t="str">
        <f>"35,00"</f>
        <v>35,00</v>
      </c>
      <c r="F271" s="4" t="str">
        <f>"2027-2029"</f>
        <v>2027-2029</v>
      </c>
      <c r="G271" s="4" t="str">
        <f>"нет"</f>
        <v>нет</v>
      </c>
      <c r="H271" s="4" t="str">
        <f>""</f>
        <v/>
      </c>
      <c r="I271" s="4" t="str">
        <f>""</f>
        <v/>
      </c>
      <c r="J271" s="4" t="str">
        <f>""</f>
        <v/>
      </c>
      <c r="K271" s="4" t="str">
        <f t="shared" si="302"/>
        <v>нет</v>
      </c>
      <c r="L271" s="4" t="str">
        <f>""</f>
        <v/>
      </c>
      <c r="M271" s="4" t="str">
        <f>""</f>
        <v/>
      </c>
      <c r="N271" s="4" t="str">
        <f>""</f>
        <v/>
      </c>
      <c r="O271" s="7" t="str">
        <f>"1977"</f>
        <v>1977</v>
      </c>
      <c r="P271" s="4" t="str">
        <f>"35,00"</f>
        <v>35,00</v>
      </c>
      <c r="Q271" s="4" t="str">
        <f>"2027-2029"</f>
        <v>2027-2029</v>
      </c>
      <c r="R271" s="4" t="str">
        <f>"нет"</f>
        <v>нет</v>
      </c>
      <c r="S271" s="4" t="str">
        <f>""</f>
        <v/>
      </c>
      <c r="T271" s="4" t="str">
        <f>""</f>
        <v/>
      </c>
      <c r="U271" s="4" t="str">
        <f>""</f>
        <v/>
      </c>
      <c r="V271" s="4" t="str">
        <f t="shared" si="284"/>
        <v>нет</v>
      </c>
      <c r="W271" s="4" t="str">
        <f>""</f>
        <v/>
      </c>
      <c r="X271" s="4" t="str">
        <f>""</f>
        <v/>
      </c>
      <c r="Y271" s="8" t="str">
        <f>""</f>
        <v/>
      </c>
      <c r="Z271" s="4" t="str">
        <f t="shared" si="298"/>
        <v>х</v>
      </c>
      <c r="AA271" s="4" t="str">
        <f t="shared" si="298"/>
        <v>х</v>
      </c>
      <c r="AB271" s="4" t="str">
        <f t="shared" si="298"/>
        <v>х</v>
      </c>
      <c r="AC271" s="4" t="str">
        <f t="shared" si="298"/>
        <v>х</v>
      </c>
      <c r="AD271" s="4" t="str">
        <f t="shared" si="298"/>
        <v>х</v>
      </c>
      <c r="AE271" s="4" t="str">
        <f t="shared" si="298"/>
        <v>х</v>
      </c>
      <c r="AF271" s="4" t="str">
        <f t="shared" si="298"/>
        <v>х</v>
      </c>
      <c r="AG271" s="4" t="str">
        <f t="shared" si="298"/>
        <v>х</v>
      </c>
      <c r="AH271" s="4" t="str">
        <f t="shared" si="298"/>
        <v>х</v>
      </c>
      <c r="AI271" s="4" t="str">
        <f t="shared" si="298"/>
        <v>х</v>
      </c>
      <c r="AJ271" s="4" t="str">
        <f t="shared" si="298"/>
        <v>х</v>
      </c>
      <c r="AK271" s="7" t="str">
        <f>"1967"</f>
        <v>1967</v>
      </c>
      <c r="AL271" s="4" t="str">
        <f>"35,00"</f>
        <v>35,00</v>
      </c>
      <c r="AM271" s="4" t="str">
        <f>"2027-2029"</f>
        <v>2027-2029</v>
      </c>
      <c r="AN271" s="4" t="str">
        <f t="shared" si="293"/>
        <v>нет</v>
      </c>
      <c r="AO271" s="4" t="str">
        <f>""</f>
        <v/>
      </c>
      <c r="AP271" s="4" t="str">
        <f>""</f>
        <v/>
      </c>
      <c r="AQ271" s="4" t="str">
        <f>""</f>
        <v/>
      </c>
      <c r="AR271" s="4" t="str">
        <f t="shared" si="294"/>
        <v>нет</v>
      </c>
      <c r="AS271" s="4" t="str">
        <f>""</f>
        <v/>
      </c>
      <c r="AT271" s="4" t="str">
        <f>""</f>
        <v/>
      </c>
      <c r="AU271" s="4" t="str">
        <f>""</f>
        <v/>
      </c>
      <c r="AV271" s="4" t="str">
        <f t="shared" si="301"/>
        <v>х</v>
      </c>
      <c r="AW271" s="4" t="str">
        <f t="shared" si="301"/>
        <v>х</v>
      </c>
      <c r="AX271" s="4" t="str">
        <f t="shared" si="301"/>
        <v>х</v>
      </c>
      <c r="AY271" s="4" t="str">
        <f t="shared" si="301"/>
        <v>х</v>
      </c>
      <c r="AZ271" s="4" t="str">
        <f t="shared" si="301"/>
        <v>х</v>
      </c>
      <c r="BA271" s="4" t="str">
        <f t="shared" si="301"/>
        <v>х</v>
      </c>
      <c r="BB271" s="4" t="str">
        <f t="shared" si="301"/>
        <v>х</v>
      </c>
      <c r="BC271" s="4" t="str">
        <f t="shared" si="301"/>
        <v>х</v>
      </c>
      <c r="BD271" s="4" t="str">
        <f t="shared" si="301"/>
        <v>х</v>
      </c>
      <c r="BE271" s="4" t="str">
        <f t="shared" si="301"/>
        <v>х</v>
      </c>
      <c r="BF271" s="4" t="str">
        <f t="shared" si="301"/>
        <v>х</v>
      </c>
      <c r="BG271" s="4" t="str">
        <f>"1967"</f>
        <v>1967</v>
      </c>
      <c r="BH271" s="4" t="str">
        <f>"35,00"</f>
        <v>35,00</v>
      </c>
      <c r="BI271" s="4" t="str">
        <f>"2027-2029"</f>
        <v>2027-2029</v>
      </c>
      <c r="BJ271" s="4" t="str">
        <f t="shared" si="296"/>
        <v>нет</v>
      </c>
      <c r="BK271" s="4" t="str">
        <f>""</f>
        <v/>
      </c>
      <c r="BL271" s="4" t="str">
        <f>""</f>
        <v/>
      </c>
      <c r="BM271" s="4" t="str">
        <f>""</f>
        <v/>
      </c>
      <c r="BN271" s="4" t="str">
        <f t="shared" si="297"/>
        <v>нет</v>
      </c>
      <c r="BO271" s="4" t="str">
        <f>""</f>
        <v/>
      </c>
      <c r="BP271" s="4" t="str">
        <f>""</f>
        <v/>
      </c>
      <c r="BQ271" s="4" t="str">
        <f>""</f>
        <v/>
      </c>
      <c r="BR271" s="4" t="str">
        <f>"1967"</f>
        <v>1967</v>
      </c>
      <c r="BS271" s="4" t="str">
        <f>"40,00"</f>
        <v>40,00</v>
      </c>
      <c r="BT271" s="4" t="str">
        <f>"2027-2029"</f>
        <v>2027-2029</v>
      </c>
      <c r="BU271" s="4" t="str">
        <f t="shared" si="303"/>
        <v>нет</v>
      </c>
      <c r="BV271" s="4" t="str">
        <f t="shared" si="283"/>
        <v>x</v>
      </c>
      <c r="BW271" s="4" t="str">
        <f t="shared" si="283"/>
        <v>x</v>
      </c>
      <c r="BX271" s="4" t="str">
        <f t="shared" si="283"/>
        <v>x</v>
      </c>
      <c r="BY271" s="4" t="str">
        <f t="shared" si="299"/>
        <v>нет</v>
      </c>
      <c r="BZ271" s="4" t="str">
        <f t="shared" si="300"/>
        <v>x</v>
      </c>
      <c r="CA271" s="4" t="str">
        <f t="shared" si="300"/>
        <v>x</v>
      </c>
      <c r="CB271" s="4" t="str">
        <f t="shared" si="300"/>
        <v>x</v>
      </c>
      <c r="CC271" s="4" t="str">
        <f>"1967"</f>
        <v>1967</v>
      </c>
      <c r="CD271" s="4" t="str">
        <f>"30,00"</f>
        <v>30,00</v>
      </c>
      <c r="CE271" s="4" t="str">
        <f>"2027-2029"</f>
        <v>2027-2029</v>
      </c>
      <c r="CF271" s="4" t="str">
        <f>"1967"</f>
        <v>1967</v>
      </c>
      <c r="CG271" s="4" t="str">
        <f>"30,00"</f>
        <v>30,00</v>
      </c>
      <c r="CH271" s="4" t="str">
        <f>"2027-2029"</f>
        <v>2027-2029</v>
      </c>
      <c r="CI271" s="4" t="str">
        <f>"28,00"</f>
        <v>28,00</v>
      </c>
      <c r="CJ271" s="4" t="str">
        <f>"2027-2029"</f>
        <v>2027-2029</v>
      </c>
    </row>
    <row r="272" spans="1:88" ht="11.25" customHeight="1">
      <c r="A272" s="45" t="str">
        <f>"24.259"</f>
        <v>24.259</v>
      </c>
      <c r="B272" s="46" t="str">
        <f>"п.Пундуга, д.28"</f>
        <v>п.Пундуга, д.28</v>
      </c>
      <c r="C272" s="6" t="str">
        <f>"1977"</f>
        <v>1977</v>
      </c>
      <c r="D272" s="4" t="str">
        <f>"2009"</f>
        <v>2009</v>
      </c>
      <c r="E272" s="4" t="str">
        <f>"35,00"</f>
        <v>35,00</v>
      </c>
      <c r="F272" s="4" t="str">
        <f>"2027-2029"</f>
        <v>2027-2029</v>
      </c>
      <c r="G272" s="4" t="str">
        <f t="shared" ref="G272:G278" si="304">"да"</f>
        <v>да</v>
      </c>
      <c r="H272" s="4" t="str">
        <f t="shared" ref="H272:H278" si="305">"2013"</f>
        <v>2013</v>
      </c>
      <c r="I272" s="4" t="str">
        <f t="shared" ref="I272:I278" si="306">"1,00"</f>
        <v>1,00</v>
      </c>
      <c r="J272" s="4" t="str">
        <f>"2027-2029"</f>
        <v>2027-2029</v>
      </c>
      <c r="K272" s="4" t="str">
        <f t="shared" si="302"/>
        <v>нет</v>
      </c>
      <c r="L272" s="4" t="str">
        <f>""</f>
        <v/>
      </c>
      <c r="M272" s="4" t="str">
        <f>""</f>
        <v/>
      </c>
      <c r="N272" s="4" t="str">
        <f>""</f>
        <v/>
      </c>
      <c r="O272" s="7" t="str">
        <f>"2009"</f>
        <v>2009</v>
      </c>
      <c r="P272" s="4" t="str">
        <f>"35,00"</f>
        <v>35,00</v>
      </c>
      <c r="Q272" s="4" t="str">
        <f>"2027-2029"</f>
        <v>2027-2029</v>
      </c>
      <c r="R272" s="4" t="str">
        <f>"да"</f>
        <v>да</v>
      </c>
      <c r="S272" s="4" t="str">
        <f>"2009"</f>
        <v>2009</v>
      </c>
      <c r="T272" s="4" t="str">
        <f>"100,00"</f>
        <v>100,00</v>
      </c>
      <c r="U272" s="4" t="str">
        <f>"2027-2029"</f>
        <v>2027-2029</v>
      </c>
      <c r="V272" s="4" t="str">
        <f t="shared" si="284"/>
        <v>нет</v>
      </c>
      <c r="W272" s="4" t="str">
        <f>""</f>
        <v/>
      </c>
      <c r="X272" s="4" t="str">
        <f>""</f>
        <v/>
      </c>
      <c r="Y272" s="8" t="str">
        <f>""</f>
        <v/>
      </c>
      <c r="Z272" s="4" t="str">
        <f t="shared" si="298"/>
        <v>х</v>
      </c>
      <c r="AA272" s="4" t="str">
        <f t="shared" si="298"/>
        <v>х</v>
      </c>
      <c r="AB272" s="4" t="str">
        <f t="shared" si="298"/>
        <v>х</v>
      </c>
      <c r="AC272" s="4" t="str">
        <f t="shared" si="298"/>
        <v>х</v>
      </c>
      <c r="AD272" s="4" t="str">
        <f t="shared" si="298"/>
        <v>х</v>
      </c>
      <c r="AE272" s="4" t="str">
        <f t="shared" si="298"/>
        <v>х</v>
      </c>
      <c r="AF272" s="4" t="str">
        <f t="shared" si="298"/>
        <v>х</v>
      </c>
      <c r="AG272" s="4" t="str">
        <f t="shared" si="298"/>
        <v>х</v>
      </c>
      <c r="AH272" s="4" t="str">
        <f t="shared" si="298"/>
        <v>х</v>
      </c>
      <c r="AI272" s="4" t="str">
        <f t="shared" si="298"/>
        <v>х</v>
      </c>
      <c r="AJ272" s="4" t="str">
        <f t="shared" si="298"/>
        <v>х</v>
      </c>
      <c r="AK272" s="7" t="str">
        <f>"2009"</f>
        <v>2009</v>
      </c>
      <c r="AL272" s="4" t="str">
        <f>"35,00"</f>
        <v>35,00</v>
      </c>
      <c r="AM272" s="4" t="str">
        <f>"2029-2031"</f>
        <v>2029-2031</v>
      </c>
      <c r="AN272" s="4" t="str">
        <f t="shared" si="293"/>
        <v>нет</v>
      </c>
      <c r="AO272" s="4" t="str">
        <f>""</f>
        <v/>
      </c>
      <c r="AP272" s="4" t="str">
        <f>""</f>
        <v/>
      </c>
      <c r="AQ272" s="4" t="str">
        <f>""</f>
        <v/>
      </c>
      <c r="AR272" s="4" t="str">
        <f t="shared" si="294"/>
        <v>нет</v>
      </c>
      <c r="AS272" s="4" t="str">
        <f>""</f>
        <v/>
      </c>
      <c r="AT272" s="4" t="str">
        <f>""</f>
        <v/>
      </c>
      <c r="AU272" s="4" t="str">
        <f>""</f>
        <v/>
      </c>
      <c r="AV272" s="4" t="str">
        <f t="shared" si="301"/>
        <v>х</v>
      </c>
      <c r="AW272" s="4" t="str">
        <f t="shared" si="301"/>
        <v>х</v>
      </c>
      <c r="AX272" s="4" t="str">
        <f t="shared" si="301"/>
        <v>х</v>
      </c>
      <c r="AY272" s="4" t="str">
        <f t="shared" si="301"/>
        <v>х</v>
      </c>
      <c r="AZ272" s="4" t="str">
        <f t="shared" si="301"/>
        <v>х</v>
      </c>
      <c r="BA272" s="4" t="str">
        <f t="shared" si="301"/>
        <v>х</v>
      </c>
      <c r="BB272" s="4" t="str">
        <f t="shared" si="301"/>
        <v>х</v>
      </c>
      <c r="BC272" s="4" t="str">
        <f t="shared" si="301"/>
        <v>х</v>
      </c>
      <c r="BD272" s="4" t="str">
        <f t="shared" si="301"/>
        <v>х</v>
      </c>
      <c r="BE272" s="4" t="str">
        <f t="shared" si="301"/>
        <v>х</v>
      </c>
      <c r="BF272" s="4" t="str">
        <f t="shared" si="301"/>
        <v>х</v>
      </c>
      <c r="BG272" s="4" t="str">
        <f>"1977"</f>
        <v>1977</v>
      </c>
      <c r="BH272" s="4" t="str">
        <f>"35,00"</f>
        <v>35,00</v>
      </c>
      <c r="BI272" s="4" t="str">
        <f>"2027-2029"</f>
        <v>2027-2029</v>
      </c>
      <c r="BJ272" s="4" t="str">
        <f t="shared" si="296"/>
        <v>нет</v>
      </c>
      <c r="BK272" s="4" t="str">
        <f>""</f>
        <v/>
      </c>
      <c r="BL272" s="4" t="str">
        <f>""</f>
        <v/>
      </c>
      <c r="BM272" s="4" t="str">
        <f>""</f>
        <v/>
      </c>
      <c r="BN272" s="4" t="str">
        <f t="shared" si="297"/>
        <v>нет</v>
      </c>
      <c r="BO272" s="4" t="str">
        <f>""</f>
        <v/>
      </c>
      <c r="BP272" s="4" t="str">
        <f>""</f>
        <v/>
      </c>
      <c r="BQ272" s="4" t="str">
        <f>""</f>
        <v/>
      </c>
      <c r="BR272" s="4" t="str">
        <f>"2009"</f>
        <v>2009</v>
      </c>
      <c r="BS272" s="4" t="str">
        <f>"8,00"</f>
        <v>8,00</v>
      </c>
      <c r="BT272" s="4" t="str">
        <f>"2027-2029"</f>
        <v>2027-2029</v>
      </c>
      <c r="BU272" s="4" t="str">
        <f t="shared" si="303"/>
        <v>нет</v>
      </c>
      <c r="BV272" s="4" t="str">
        <f t="shared" si="283"/>
        <v>x</v>
      </c>
      <c r="BW272" s="4" t="str">
        <f t="shared" si="283"/>
        <v>x</v>
      </c>
      <c r="BX272" s="4" t="str">
        <f t="shared" si="283"/>
        <v>x</v>
      </c>
      <c r="BY272" s="4" t="str">
        <f t="shared" si="299"/>
        <v>нет</v>
      </c>
      <c r="BZ272" s="4" t="str">
        <f t="shared" si="300"/>
        <v>x</v>
      </c>
      <c r="CA272" s="4" t="str">
        <f t="shared" si="300"/>
        <v>x</v>
      </c>
      <c r="CB272" s="4" t="str">
        <f t="shared" si="300"/>
        <v>x</v>
      </c>
      <c r="CC272" s="4" t="str">
        <f>"2009"</f>
        <v>2009</v>
      </c>
      <c r="CD272" s="4" t="str">
        <f>"8,00"</f>
        <v>8,00</v>
      </c>
      <c r="CE272" s="4" t="str">
        <f>"2027-2029"</f>
        <v>2027-2029</v>
      </c>
      <c r="CF272" s="4" t="str">
        <f>"1977"</f>
        <v>1977</v>
      </c>
      <c r="CG272" s="4" t="str">
        <f>"40,00"</f>
        <v>40,00</v>
      </c>
      <c r="CH272" s="4" t="str">
        <f>"2027-2029"</f>
        <v>2027-2029</v>
      </c>
      <c r="CI272" s="4" t="str">
        <f>"45,00"</f>
        <v>45,00</v>
      </c>
      <c r="CJ272" s="4" t="str">
        <f>"2027-2029"</f>
        <v>2027-2029</v>
      </c>
    </row>
    <row r="273" spans="1:88" ht="11.25" customHeight="1">
      <c r="A273" s="45" t="str">
        <f>"24.260"</f>
        <v>24.260</v>
      </c>
      <c r="B273" s="46" t="str">
        <f>"с. Кумзеро, д.1"</f>
        <v>с. Кумзеро, д.1</v>
      </c>
      <c r="C273" s="6" t="str">
        <f>"1984"</f>
        <v>1984</v>
      </c>
      <c r="D273" s="4" t="str">
        <f>"1984"</f>
        <v>1984</v>
      </c>
      <c r="E273" s="4" t="str">
        <f>"30,00"</f>
        <v>30,00</v>
      </c>
      <c r="F273" s="4" t="str">
        <f>"2030-2032"</f>
        <v>2030-2032</v>
      </c>
      <c r="G273" s="4" t="str">
        <f t="shared" si="304"/>
        <v>да</v>
      </c>
      <c r="H273" s="4" t="str">
        <f t="shared" si="305"/>
        <v>2013</v>
      </c>
      <c r="I273" s="4" t="str">
        <f t="shared" si="306"/>
        <v>1,00</v>
      </c>
      <c r="J273" s="4" t="str">
        <f>"2030-2032"</f>
        <v>2030-2032</v>
      </c>
      <c r="K273" s="4" t="str">
        <f t="shared" si="302"/>
        <v>нет</v>
      </c>
      <c r="L273" s="4" t="str">
        <f>""</f>
        <v/>
      </c>
      <c r="M273" s="4" t="str">
        <f>""</f>
        <v/>
      </c>
      <c r="N273" s="4" t="str">
        <f>""</f>
        <v/>
      </c>
      <c r="O273" s="7" t="str">
        <f>"1984"</f>
        <v>1984</v>
      </c>
      <c r="P273" s="4" t="str">
        <f>"30,00"</f>
        <v>30,00</v>
      </c>
      <c r="Q273" s="4" t="str">
        <f>"2030-2032"</f>
        <v>2030-2032</v>
      </c>
      <c r="R273" s="4" t="str">
        <f t="shared" ref="R273:R279" si="307">"нет"</f>
        <v>нет</v>
      </c>
      <c r="S273" s="4" t="str">
        <f>""</f>
        <v/>
      </c>
      <c r="T273" s="4" t="str">
        <f>""</f>
        <v/>
      </c>
      <c r="U273" s="4" t="str">
        <f>""</f>
        <v/>
      </c>
      <c r="V273" s="4" t="str">
        <f t="shared" si="284"/>
        <v>нет</v>
      </c>
      <c r="W273" s="4" t="str">
        <f>""</f>
        <v/>
      </c>
      <c r="X273" s="4" t="str">
        <f>""</f>
        <v/>
      </c>
      <c r="Y273" s="8" t="str">
        <f>""</f>
        <v/>
      </c>
      <c r="Z273" s="4" t="str">
        <f t="shared" si="298"/>
        <v>х</v>
      </c>
      <c r="AA273" s="4" t="str">
        <f t="shared" si="298"/>
        <v>х</v>
      </c>
      <c r="AB273" s="4" t="str">
        <f t="shared" si="298"/>
        <v>х</v>
      </c>
      <c r="AC273" s="4" t="str">
        <f t="shared" si="298"/>
        <v>х</v>
      </c>
      <c r="AD273" s="4" t="str">
        <f t="shared" si="298"/>
        <v>х</v>
      </c>
      <c r="AE273" s="4" t="str">
        <f t="shared" si="298"/>
        <v>х</v>
      </c>
      <c r="AF273" s="4" t="str">
        <f t="shared" si="298"/>
        <v>х</v>
      </c>
      <c r="AG273" s="4" t="str">
        <f t="shared" si="298"/>
        <v>х</v>
      </c>
      <c r="AH273" s="4" t="str">
        <f t="shared" si="298"/>
        <v>х</v>
      </c>
      <c r="AI273" s="4" t="str">
        <f t="shared" si="298"/>
        <v>х</v>
      </c>
      <c r="AJ273" s="4" t="str">
        <f t="shared" si="298"/>
        <v>х</v>
      </c>
      <c r="AK273" s="7" t="str">
        <f>"1984"</f>
        <v>1984</v>
      </c>
      <c r="AL273" s="4" t="str">
        <f>"30,00"</f>
        <v>30,00</v>
      </c>
      <c r="AM273" s="4" t="str">
        <f>"2030-2032"</f>
        <v>2030-2032</v>
      </c>
      <c r="AN273" s="4" t="str">
        <f t="shared" si="293"/>
        <v>нет</v>
      </c>
      <c r="AO273" s="4" t="str">
        <f>""</f>
        <v/>
      </c>
      <c r="AP273" s="4" t="str">
        <f>""</f>
        <v/>
      </c>
      <c r="AQ273" s="4" t="str">
        <f>""</f>
        <v/>
      </c>
      <c r="AR273" s="4" t="str">
        <f t="shared" si="294"/>
        <v>нет</v>
      </c>
      <c r="AS273" s="4" t="str">
        <f>""</f>
        <v/>
      </c>
      <c r="AT273" s="4" t="str">
        <f>""</f>
        <v/>
      </c>
      <c r="AU273" s="4" t="str">
        <f>""</f>
        <v/>
      </c>
      <c r="AV273" s="4" t="str">
        <f t="shared" si="301"/>
        <v>х</v>
      </c>
      <c r="AW273" s="4" t="str">
        <f t="shared" si="301"/>
        <v>х</v>
      </c>
      <c r="AX273" s="4" t="str">
        <f t="shared" si="301"/>
        <v>х</v>
      </c>
      <c r="AY273" s="4" t="str">
        <f t="shared" si="301"/>
        <v>х</v>
      </c>
      <c r="AZ273" s="4" t="str">
        <f t="shared" si="301"/>
        <v>х</v>
      </c>
      <c r="BA273" s="4" t="str">
        <f t="shared" si="301"/>
        <v>х</v>
      </c>
      <c r="BB273" s="4" t="str">
        <f t="shared" si="301"/>
        <v>х</v>
      </c>
      <c r="BC273" s="4" t="str">
        <f t="shared" si="301"/>
        <v>х</v>
      </c>
      <c r="BD273" s="4" t="str">
        <f t="shared" si="301"/>
        <v>х</v>
      </c>
      <c r="BE273" s="4" t="str">
        <f t="shared" si="301"/>
        <v>х</v>
      </c>
      <c r="BF273" s="4" t="str">
        <f t="shared" si="301"/>
        <v>х</v>
      </c>
      <c r="BG273" s="4" t="str">
        <f>"1984"</f>
        <v>1984</v>
      </c>
      <c r="BH273" s="4" t="str">
        <f>"30,00"</f>
        <v>30,00</v>
      </c>
      <c r="BI273" s="4" t="str">
        <f>"2030-2032"</f>
        <v>2030-2032</v>
      </c>
      <c r="BJ273" s="4" t="str">
        <f t="shared" si="296"/>
        <v>нет</v>
      </c>
      <c r="BK273" s="4" t="str">
        <f>""</f>
        <v/>
      </c>
      <c r="BL273" s="4" t="str">
        <f>""</f>
        <v/>
      </c>
      <c r="BM273" s="4" t="str">
        <f>""</f>
        <v/>
      </c>
      <c r="BN273" s="4" t="str">
        <f t="shared" si="297"/>
        <v>нет</v>
      </c>
      <c r="BO273" s="4" t="str">
        <f>""</f>
        <v/>
      </c>
      <c r="BP273" s="4" t="str">
        <f>""</f>
        <v/>
      </c>
      <c r="BQ273" s="4" t="str">
        <f>""</f>
        <v/>
      </c>
      <c r="BR273" s="4" t="str">
        <f>"1984"</f>
        <v>1984</v>
      </c>
      <c r="BS273" s="4" t="str">
        <f>"40,00"</f>
        <v>40,00</v>
      </c>
      <c r="BT273" s="4" t="str">
        <f>"2018-2020"</f>
        <v>2018-2020</v>
      </c>
      <c r="BU273" s="4" t="str">
        <f t="shared" si="303"/>
        <v>нет</v>
      </c>
      <c r="BV273" s="4" t="str">
        <f t="shared" si="283"/>
        <v>x</v>
      </c>
      <c r="BW273" s="4" t="str">
        <f t="shared" si="283"/>
        <v>x</v>
      </c>
      <c r="BX273" s="4" t="str">
        <f t="shared" si="283"/>
        <v>x</v>
      </c>
      <c r="BY273" s="4" t="str">
        <f t="shared" si="299"/>
        <v>нет</v>
      </c>
      <c r="BZ273" s="4" t="str">
        <f>"1984"</f>
        <v>1984</v>
      </c>
      <c r="CA273" s="4" t="str">
        <f>"40,00"</f>
        <v>40,00</v>
      </c>
      <c r="CB273" s="4" t="str">
        <f>"2018-2020"</f>
        <v>2018-2020</v>
      </c>
      <c r="CC273" s="4" t="str">
        <f>"1984"</f>
        <v>1984</v>
      </c>
      <c r="CD273" s="4" t="str">
        <f>"25,00"</f>
        <v>25,00</v>
      </c>
      <c r="CE273" s="4" t="str">
        <f>"2030-2032"</f>
        <v>2030-2032</v>
      </c>
      <c r="CF273" s="4" t="str">
        <f>"1984"</f>
        <v>1984</v>
      </c>
      <c r="CG273" s="4" t="str">
        <f>"20,00"</f>
        <v>20,00</v>
      </c>
      <c r="CH273" s="4" t="str">
        <f>"2030-2032"</f>
        <v>2030-2032</v>
      </c>
      <c r="CI273" s="4" t="str">
        <f>"28,00"</f>
        <v>28,00</v>
      </c>
      <c r="CJ273" s="4" t="str">
        <f>"2030-2032"</f>
        <v>2030-2032</v>
      </c>
    </row>
    <row r="274" spans="1:88" ht="11.25" customHeight="1">
      <c r="A274" s="45" t="str">
        <f>"24.261"</f>
        <v>24.261</v>
      </c>
      <c r="B274" s="46" t="str">
        <f>"с. Кумзеро, д.2"</f>
        <v>с. Кумзеро, д.2</v>
      </c>
      <c r="C274" s="6" t="str">
        <f>"1984"</f>
        <v>1984</v>
      </c>
      <c r="D274" s="4" t="str">
        <f>"1984"</f>
        <v>1984</v>
      </c>
      <c r="E274" s="4" t="str">
        <f>"35,00"</f>
        <v>35,00</v>
      </c>
      <c r="F274" s="4" t="str">
        <f>"2030-2032"</f>
        <v>2030-2032</v>
      </c>
      <c r="G274" s="4" t="str">
        <f t="shared" si="304"/>
        <v>да</v>
      </c>
      <c r="H274" s="4" t="str">
        <f t="shared" si="305"/>
        <v>2013</v>
      </c>
      <c r="I274" s="4" t="str">
        <f t="shared" si="306"/>
        <v>1,00</v>
      </c>
      <c r="J274" s="4" t="str">
        <f>"2030-2032"</f>
        <v>2030-2032</v>
      </c>
      <c r="K274" s="4" t="str">
        <f t="shared" si="302"/>
        <v>нет</v>
      </c>
      <c r="L274" s="4" t="str">
        <f>""</f>
        <v/>
      </c>
      <c r="M274" s="4" t="str">
        <f>""</f>
        <v/>
      </c>
      <c r="N274" s="4" t="str">
        <f>""</f>
        <v/>
      </c>
      <c r="O274" s="7" t="str">
        <f>"1984"</f>
        <v>1984</v>
      </c>
      <c r="P274" s="4" t="str">
        <f>"35,00"</f>
        <v>35,00</v>
      </c>
      <c r="Q274" s="4" t="str">
        <f>"2030-2032"</f>
        <v>2030-2032</v>
      </c>
      <c r="R274" s="4" t="str">
        <f t="shared" si="307"/>
        <v>нет</v>
      </c>
      <c r="S274" s="4" t="str">
        <f>""</f>
        <v/>
      </c>
      <c r="T274" s="4" t="str">
        <f>""</f>
        <v/>
      </c>
      <c r="U274" s="4" t="str">
        <f>""</f>
        <v/>
      </c>
      <c r="V274" s="4" t="str">
        <f t="shared" si="284"/>
        <v>нет</v>
      </c>
      <c r="W274" s="4" t="str">
        <f>""</f>
        <v/>
      </c>
      <c r="X274" s="4" t="str">
        <f>""</f>
        <v/>
      </c>
      <c r="Y274" s="8" t="str">
        <f>""</f>
        <v/>
      </c>
      <c r="Z274" s="4" t="str">
        <f t="shared" si="298"/>
        <v>х</v>
      </c>
      <c r="AA274" s="4" t="str">
        <f t="shared" si="298"/>
        <v>х</v>
      </c>
      <c r="AB274" s="4" t="str">
        <f t="shared" si="298"/>
        <v>х</v>
      </c>
      <c r="AC274" s="4" t="str">
        <f t="shared" si="298"/>
        <v>х</v>
      </c>
      <c r="AD274" s="4" t="str">
        <f t="shared" si="298"/>
        <v>х</v>
      </c>
      <c r="AE274" s="4" t="str">
        <f t="shared" si="298"/>
        <v>х</v>
      </c>
      <c r="AF274" s="4" t="str">
        <f t="shared" si="298"/>
        <v>х</v>
      </c>
      <c r="AG274" s="4" t="str">
        <f t="shared" si="298"/>
        <v>х</v>
      </c>
      <c r="AH274" s="4" t="str">
        <f t="shared" si="298"/>
        <v>х</v>
      </c>
      <c r="AI274" s="4" t="str">
        <f t="shared" si="298"/>
        <v>х</v>
      </c>
      <c r="AJ274" s="4" t="str">
        <f t="shared" si="298"/>
        <v>х</v>
      </c>
      <c r="AK274" s="7" t="str">
        <f>"1984"</f>
        <v>1984</v>
      </c>
      <c r="AL274" s="4" t="str">
        <f>"35,00"</f>
        <v>35,00</v>
      </c>
      <c r="AM274" s="4" t="str">
        <f>"2030-2032"</f>
        <v>2030-2032</v>
      </c>
      <c r="AN274" s="4" t="str">
        <f t="shared" si="293"/>
        <v>нет</v>
      </c>
      <c r="AO274" s="4" t="str">
        <f>""</f>
        <v/>
      </c>
      <c r="AP274" s="4" t="str">
        <f>""</f>
        <v/>
      </c>
      <c r="AQ274" s="4" t="str">
        <f>""</f>
        <v/>
      </c>
      <c r="AR274" s="4" t="str">
        <f t="shared" si="294"/>
        <v>нет</v>
      </c>
      <c r="AS274" s="4" t="str">
        <f>""</f>
        <v/>
      </c>
      <c r="AT274" s="4" t="str">
        <f>""</f>
        <v/>
      </c>
      <c r="AU274" s="4" t="str">
        <f>""</f>
        <v/>
      </c>
      <c r="AV274" s="4" t="str">
        <f t="shared" si="301"/>
        <v>х</v>
      </c>
      <c r="AW274" s="4" t="str">
        <f t="shared" si="301"/>
        <v>х</v>
      </c>
      <c r="AX274" s="4" t="str">
        <f t="shared" si="301"/>
        <v>х</v>
      </c>
      <c r="AY274" s="4" t="str">
        <f t="shared" si="301"/>
        <v>х</v>
      </c>
      <c r="AZ274" s="4" t="str">
        <f t="shared" si="301"/>
        <v>х</v>
      </c>
      <c r="BA274" s="4" t="str">
        <f t="shared" si="301"/>
        <v>х</v>
      </c>
      <c r="BB274" s="4" t="str">
        <f t="shared" si="301"/>
        <v>х</v>
      </c>
      <c r="BC274" s="4" t="str">
        <f t="shared" si="301"/>
        <v>х</v>
      </c>
      <c r="BD274" s="4" t="str">
        <f t="shared" si="301"/>
        <v>х</v>
      </c>
      <c r="BE274" s="4" t="str">
        <f t="shared" si="301"/>
        <v>х</v>
      </c>
      <c r="BF274" s="4" t="str">
        <f t="shared" si="301"/>
        <v>х</v>
      </c>
      <c r="BG274" s="4" t="str">
        <f>"1984"</f>
        <v>1984</v>
      </c>
      <c r="BH274" s="4" t="str">
        <f>"35,00"</f>
        <v>35,00</v>
      </c>
      <c r="BI274" s="4" t="str">
        <f>"2030-2032"</f>
        <v>2030-2032</v>
      </c>
      <c r="BJ274" s="4" t="str">
        <f t="shared" si="296"/>
        <v>нет</v>
      </c>
      <c r="BK274" s="4" t="str">
        <f>""</f>
        <v/>
      </c>
      <c r="BL274" s="4" t="str">
        <f>""</f>
        <v/>
      </c>
      <c r="BM274" s="4" t="str">
        <f>""</f>
        <v/>
      </c>
      <c r="BN274" s="4" t="str">
        <f t="shared" si="297"/>
        <v>нет</v>
      </c>
      <c r="BO274" s="4" t="str">
        <f>""</f>
        <v/>
      </c>
      <c r="BP274" s="4" t="str">
        <f>""</f>
        <v/>
      </c>
      <c r="BQ274" s="4" t="str">
        <f>""</f>
        <v/>
      </c>
      <c r="BR274" s="4" t="str">
        <f>"1984"</f>
        <v>1984</v>
      </c>
      <c r="BS274" s="4" t="str">
        <f>"40,00"</f>
        <v>40,00</v>
      </c>
      <c r="BT274" s="4" t="str">
        <f>"2018-2020"</f>
        <v>2018-2020</v>
      </c>
      <c r="BU274" s="4" t="str">
        <f t="shared" si="303"/>
        <v>нет</v>
      </c>
      <c r="BV274" s="4" t="str">
        <f t="shared" ref="BV274:BX280" si="308">"x"</f>
        <v>x</v>
      </c>
      <c r="BW274" s="4" t="str">
        <f t="shared" si="308"/>
        <v>x</v>
      </c>
      <c r="BX274" s="4" t="str">
        <f t="shared" si="308"/>
        <v>x</v>
      </c>
      <c r="BY274" s="4" t="str">
        <f t="shared" si="299"/>
        <v>нет</v>
      </c>
      <c r="BZ274" s="4" t="str">
        <f>"1984"</f>
        <v>1984</v>
      </c>
      <c r="CA274" s="4" t="str">
        <f>"40,00"</f>
        <v>40,00</v>
      </c>
      <c r="CB274" s="4" t="str">
        <f>"2030-2032"</f>
        <v>2030-2032</v>
      </c>
      <c r="CC274" s="4" t="str">
        <f>"1984"</f>
        <v>1984</v>
      </c>
      <c r="CD274" s="4" t="str">
        <f>"25,00"</f>
        <v>25,00</v>
      </c>
      <c r="CE274" s="4" t="str">
        <f>"2030-2032"</f>
        <v>2030-2032</v>
      </c>
      <c r="CF274" s="4" t="str">
        <f>"1984"</f>
        <v>1984</v>
      </c>
      <c r="CG274" s="4" t="str">
        <f>"20,00"</f>
        <v>20,00</v>
      </c>
      <c r="CH274" s="4" t="str">
        <f>"2030-2032"</f>
        <v>2030-2032</v>
      </c>
      <c r="CI274" s="4" t="str">
        <f>"28,00"</f>
        <v>28,00</v>
      </c>
      <c r="CJ274" s="4" t="str">
        <f>"2030-2032"</f>
        <v>2030-2032</v>
      </c>
    </row>
    <row r="275" spans="1:88" ht="11.25" customHeight="1">
      <c r="A275" s="45" t="str">
        <f>"24.262"</f>
        <v>24.262</v>
      </c>
      <c r="B275" s="46" t="str">
        <f>"с. Кумзеро, д.27"</f>
        <v>с. Кумзеро, д.27</v>
      </c>
      <c r="C275" s="6" t="str">
        <f>"1973"</f>
        <v>1973</v>
      </c>
      <c r="D275" s="4" t="str">
        <f>"1973"</f>
        <v>1973</v>
      </c>
      <c r="E275" s="4" t="str">
        <f>"55,00"</f>
        <v>55,00</v>
      </c>
      <c r="F275" s="4" t="str">
        <f>"2025-2027"</f>
        <v>2025-2027</v>
      </c>
      <c r="G275" s="4" t="str">
        <f t="shared" si="304"/>
        <v>да</v>
      </c>
      <c r="H275" s="4" t="str">
        <f t="shared" si="305"/>
        <v>2013</v>
      </c>
      <c r="I275" s="4" t="str">
        <f t="shared" si="306"/>
        <v>1,00</v>
      </c>
      <c r="J275" s="4" t="str">
        <f>"2025-2027"</f>
        <v>2025-2027</v>
      </c>
      <c r="K275" s="4" t="str">
        <f t="shared" si="302"/>
        <v>нет</v>
      </c>
      <c r="L275" s="4" t="str">
        <f>""</f>
        <v/>
      </c>
      <c r="M275" s="4" t="str">
        <f>""</f>
        <v/>
      </c>
      <c r="N275" s="4" t="str">
        <f>""</f>
        <v/>
      </c>
      <c r="O275" s="7" t="str">
        <f>"1973"</f>
        <v>1973</v>
      </c>
      <c r="P275" s="4" t="str">
        <f>"55,00"</f>
        <v>55,00</v>
      </c>
      <c r="Q275" s="4" t="str">
        <f>"2025-2027"</f>
        <v>2025-2027</v>
      </c>
      <c r="R275" s="4" t="str">
        <f t="shared" si="307"/>
        <v>нет</v>
      </c>
      <c r="S275" s="4" t="str">
        <f>""</f>
        <v/>
      </c>
      <c r="T275" s="4" t="str">
        <f>""</f>
        <v/>
      </c>
      <c r="U275" s="4" t="str">
        <f>""</f>
        <v/>
      </c>
      <c r="V275" s="4" t="str">
        <f t="shared" si="284"/>
        <v>нет</v>
      </c>
      <c r="W275" s="4" t="str">
        <f>""</f>
        <v/>
      </c>
      <c r="X275" s="4" t="str">
        <f>""</f>
        <v/>
      </c>
      <c r="Y275" s="8" t="str">
        <f>""</f>
        <v/>
      </c>
      <c r="Z275" s="4" t="str">
        <f t="shared" si="298"/>
        <v>х</v>
      </c>
      <c r="AA275" s="4" t="str">
        <f t="shared" si="298"/>
        <v>х</v>
      </c>
      <c r="AB275" s="4" t="str">
        <f t="shared" si="298"/>
        <v>х</v>
      </c>
      <c r="AC275" s="4" t="str">
        <f t="shared" si="298"/>
        <v>х</v>
      </c>
      <c r="AD275" s="4" t="str">
        <f t="shared" si="298"/>
        <v>х</v>
      </c>
      <c r="AE275" s="4" t="str">
        <f t="shared" si="298"/>
        <v>х</v>
      </c>
      <c r="AF275" s="4" t="str">
        <f t="shared" si="298"/>
        <v>х</v>
      </c>
      <c r="AG275" s="4" t="str">
        <f t="shared" si="298"/>
        <v>х</v>
      </c>
      <c r="AH275" s="4" t="str">
        <f t="shared" si="298"/>
        <v>х</v>
      </c>
      <c r="AI275" s="4" t="str">
        <f t="shared" si="298"/>
        <v>х</v>
      </c>
      <c r="AJ275" s="4" t="str">
        <f t="shared" si="298"/>
        <v>х</v>
      </c>
      <c r="AK275" s="7" t="str">
        <f t="shared" ref="AK275:AU275" si="309">"х"</f>
        <v>х</v>
      </c>
      <c r="AL275" s="4" t="str">
        <f t="shared" si="309"/>
        <v>х</v>
      </c>
      <c r="AM275" s="4" t="str">
        <f t="shared" si="309"/>
        <v>х</v>
      </c>
      <c r="AN275" s="4" t="str">
        <f t="shared" si="309"/>
        <v>х</v>
      </c>
      <c r="AO275" s="4" t="str">
        <f t="shared" si="309"/>
        <v>х</v>
      </c>
      <c r="AP275" s="4" t="str">
        <f t="shared" si="309"/>
        <v>х</v>
      </c>
      <c r="AQ275" s="4" t="str">
        <f t="shared" si="309"/>
        <v>х</v>
      </c>
      <c r="AR275" s="4" t="str">
        <f t="shared" si="309"/>
        <v>х</v>
      </c>
      <c r="AS275" s="4" t="str">
        <f t="shared" si="309"/>
        <v>х</v>
      </c>
      <c r="AT275" s="4" t="str">
        <f t="shared" si="309"/>
        <v>х</v>
      </c>
      <c r="AU275" s="4" t="str">
        <f t="shared" si="309"/>
        <v>х</v>
      </c>
      <c r="AV275" s="4" t="str">
        <f t="shared" si="301"/>
        <v>х</v>
      </c>
      <c r="AW275" s="4" t="str">
        <f t="shared" si="301"/>
        <v>х</v>
      </c>
      <c r="AX275" s="4" t="str">
        <f t="shared" si="301"/>
        <v>х</v>
      </c>
      <c r="AY275" s="4" t="str">
        <f t="shared" si="301"/>
        <v>х</v>
      </c>
      <c r="AZ275" s="4" t="str">
        <f t="shared" si="301"/>
        <v>х</v>
      </c>
      <c r="BA275" s="4" t="str">
        <f t="shared" si="301"/>
        <v>х</v>
      </c>
      <c r="BB275" s="4" t="str">
        <f t="shared" si="301"/>
        <v>х</v>
      </c>
      <c r="BC275" s="4" t="str">
        <f t="shared" si="301"/>
        <v>х</v>
      </c>
      <c r="BD275" s="4" t="str">
        <f t="shared" si="301"/>
        <v>х</v>
      </c>
      <c r="BE275" s="4" t="str">
        <f t="shared" si="301"/>
        <v>х</v>
      </c>
      <c r="BF275" s="4" t="str">
        <f t="shared" si="301"/>
        <v>х</v>
      </c>
      <c r="BG275" s="4" t="str">
        <f t="shared" ref="BG275:BQ275" si="310">"х"</f>
        <v>х</v>
      </c>
      <c r="BH275" s="4" t="str">
        <f t="shared" si="310"/>
        <v>х</v>
      </c>
      <c r="BI275" s="4" t="str">
        <f t="shared" si="310"/>
        <v>х</v>
      </c>
      <c r="BJ275" s="4" t="str">
        <f t="shared" si="310"/>
        <v>х</v>
      </c>
      <c r="BK275" s="4" t="str">
        <f t="shared" si="310"/>
        <v>х</v>
      </c>
      <c r="BL275" s="4" t="str">
        <f t="shared" si="310"/>
        <v>х</v>
      </c>
      <c r="BM275" s="4" t="str">
        <f t="shared" si="310"/>
        <v>х</v>
      </c>
      <c r="BN275" s="4" t="str">
        <f t="shared" si="310"/>
        <v>х</v>
      </c>
      <c r="BO275" s="4" t="str">
        <f t="shared" si="310"/>
        <v>х</v>
      </c>
      <c r="BP275" s="4" t="str">
        <f t="shared" si="310"/>
        <v>х</v>
      </c>
      <c r="BQ275" s="4" t="str">
        <f t="shared" si="310"/>
        <v>х</v>
      </c>
      <c r="BR275" s="4" t="str">
        <f>"1973"</f>
        <v>1973</v>
      </c>
      <c r="BS275" s="4" t="str">
        <f>"60,00"</f>
        <v>60,00</v>
      </c>
      <c r="BT275" s="4" t="str">
        <f>"2025-2027"</f>
        <v>2025-2027</v>
      </c>
      <c r="BU275" s="4" t="str">
        <f t="shared" si="303"/>
        <v>нет</v>
      </c>
      <c r="BV275" s="4" t="str">
        <f t="shared" si="308"/>
        <v>x</v>
      </c>
      <c r="BW275" s="4" t="str">
        <f t="shared" si="308"/>
        <v>x</v>
      </c>
      <c r="BX275" s="4" t="str">
        <f t="shared" si="308"/>
        <v>x</v>
      </c>
      <c r="BY275" s="4" t="str">
        <f t="shared" si="299"/>
        <v>нет</v>
      </c>
      <c r="BZ275" s="4" t="str">
        <f>"x"</f>
        <v>x</v>
      </c>
      <c r="CA275" s="4" t="str">
        <f>"x"</f>
        <v>x</v>
      </c>
      <c r="CB275" s="4" t="str">
        <f>"x"</f>
        <v>x</v>
      </c>
      <c r="CC275" s="4" t="str">
        <f>"1973"</f>
        <v>1973</v>
      </c>
      <c r="CD275" s="4" t="str">
        <f>"60,00"</f>
        <v>60,00</v>
      </c>
      <c r="CE275" s="4" t="str">
        <f>"2025-2027"</f>
        <v>2025-2027</v>
      </c>
      <c r="CF275" s="4" t="str">
        <f>"1973"</f>
        <v>1973</v>
      </c>
      <c r="CG275" s="4" t="str">
        <f>"55,00"</f>
        <v>55,00</v>
      </c>
      <c r="CH275" s="4" t="str">
        <f>"2025-2027"</f>
        <v>2025-2027</v>
      </c>
      <c r="CI275" s="4" t="str">
        <f>"55,00"</f>
        <v>55,00</v>
      </c>
      <c r="CJ275" s="4" t="str">
        <f>"2025-2027"</f>
        <v>2025-2027</v>
      </c>
    </row>
    <row r="276" spans="1:88" ht="11.25" customHeight="1">
      <c r="A276" s="45" t="str">
        <f>"24.263"</f>
        <v>24.263</v>
      </c>
      <c r="B276" s="46" t="str">
        <f>"с. Михайловское, ул. Школьная, д.11"</f>
        <v>с. Михайловское, ул. Школьная, д.11</v>
      </c>
      <c r="C276" s="6" t="str">
        <f>"1991"</f>
        <v>1991</v>
      </c>
      <c r="D276" s="4" t="str">
        <f>"1991"</f>
        <v>1991</v>
      </c>
      <c r="E276" s="4" t="str">
        <f>"30,00"</f>
        <v>30,00</v>
      </c>
      <c r="F276" s="4" t="str">
        <f>"2034-2036"</f>
        <v>2034-2036</v>
      </c>
      <c r="G276" s="4" t="str">
        <f t="shared" si="304"/>
        <v>да</v>
      </c>
      <c r="H276" s="4" t="str">
        <f t="shared" si="305"/>
        <v>2013</v>
      </c>
      <c r="I276" s="4" t="str">
        <f t="shared" si="306"/>
        <v>1,00</v>
      </c>
      <c r="J276" s="4" t="str">
        <f>"2034-2036"</f>
        <v>2034-2036</v>
      </c>
      <c r="K276" s="4" t="str">
        <f t="shared" si="302"/>
        <v>нет</v>
      </c>
      <c r="L276" s="4" t="str">
        <f>""</f>
        <v/>
      </c>
      <c r="M276" s="4" t="str">
        <f>""</f>
        <v/>
      </c>
      <c r="N276" s="4" t="str">
        <f>""</f>
        <v/>
      </c>
      <c r="O276" s="7" t="str">
        <f>"1991"</f>
        <v>1991</v>
      </c>
      <c r="P276" s="4" t="str">
        <f>"30,00"</f>
        <v>30,00</v>
      </c>
      <c r="Q276" s="4" t="str">
        <f>"2034-2036"</f>
        <v>2034-2036</v>
      </c>
      <c r="R276" s="4" t="str">
        <f t="shared" si="307"/>
        <v>нет</v>
      </c>
      <c r="S276" s="4" t="str">
        <f>""</f>
        <v/>
      </c>
      <c r="T276" s="4" t="str">
        <f>""</f>
        <v/>
      </c>
      <c r="U276" s="4" t="str">
        <f>""</f>
        <v/>
      </c>
      <c r="V276" s="4" t="str">
        <f t="shared" si="284"/>
        <v>нет</v>
      </c>
      <c r="W276" s="4" t="str">
        <f>""</f>
        <v/>
      </c>
      <c r="X276" s="4" t="str">
        <f>""</f>
        <v/>
      </c>
      <c r="Y276" s="8" t="str">
        <f>""</f>
        <v/>
      </c>
      <c r="Z276" s="4" t="str">
        <f t="shared" si="298"/>
        <v>х</v>
      </c>
      <c r="AA276" s="4" t="str">
        <f t="shared" si="298"/>
        <v>х</v>
      </c>
      <c r="AB276" s="4" t="str">
        <f t="shared" si="298"/>
        <v>х</v>
      </c>
      <c r="AC276" s="4" t="str">
        <f t="shared" si="298"/>
        <v>х</v>
      </c>
      <c r="AD276" s="4" t="str">
        <f t="shared" si="298"/>
        <v>х</v>
      </c>
      <c r="AE276" s="4" t="str">
        <f t="shared" si="298"/>
        <v>х</v>
      </c>
      <c r="AF276" s="4" t="str">
        <f t="shared" si="298"/>
        <v>х</v>
      </c>
      <c r="AG276" s="4" t="str">
        <f t="shared" si="298"/>
        <v>х</v>
      </c>
      <c r="AH276" s="4" t="str">
        <f t="shared" si="298"/>
        <v>х</v>
      </c>
      <c r="AI276" s="4" t="str">
        <f t="shared" si="298"/>
        <v>х</v>
      </c>
      <c r="AJ276" s="4" t="str">
        <f t="shared" si="298"/>
        <v>х</v>
      </c>
      <c r="AK276" s="7" t="str">
        <f>"1991"</f>
        <v>1991</v>
      </c>
      <c r="AL276" s="4" t="str">
        <f>"30,00"</f>
        <v>30,00</v>
      </c>
      <c r="AM276" s="4" t="str">
        <f>"2034-2036"</f>
        <v>2034-2036</v>
      </c>
      <c r="AN276" s="4" t="str">
        <f>"нет"</f>
        <v>нет</v>
      </c>
      <c r="AO276" s="4" t="str">
        <f>""</f>
        <v/>
      </c>
      <c r="AP276" s="4" t="str">
        <f>""</f>
        <v/>
      </c>
      <c r="AQ276" s="4" t="str">
        <f>""</f>
        <v/>
      </c>
      <c r="AR276" s="4" t="str">
        <f>"нет"</f>
        <v>нет</v>
      </c>
      <c r="AS276" s="4" t="str">
        <f>""</f>
        <v/>
      </c>
      <c r="AT276" s="4" t="str">
        <f>""</f>
        <v/>
      </c>
      <c r="AU276" s="4" t="str">
        <f>""</f>
        <v/>
      </c>
      <c r="AV276" s="4" t="str">
        <f>""</f>
        <v/>
      </c>
      <c r="AW276" s="4" t="str">
        <f>""</f>
        <v/>
      </c>
      <c r="AX276" s="4" t="str">
        <f>""</f>
        <v/>
      </c>
      <c r="AY276" s="4" t="str">
        <f>""</f>
        <v/>
      </c>
      <c r="AZ276" s="4" t="str">
        <f>""</f>
        <v/>
      </c>
      <c r="BA276" s="4" t="str">
        <f>""</f>
        <v/>
      </c>
      <c r="BB276" s="4" t="str">
        <f>""</f>
        <v/>
      </c>
      <c r="BC276" s="4" t="str">
        <f>""</f>
        <v/>
      </c>
      <c r="BD276" s="4" t="str">
        <f>""</f>
        <v/>
      </c>
      <c r="BE276" s="4" t="str">
        <f>""</f>
        <v/>
      </c>
      <c r="BF276" s="4" t="str">
        <f>""</f>
        <v/>
      </c>
      <c r="BG276" s="4" t="str">
        <f>"1991"</f>
        <v>1991</v>
      </c>
      <c r="BH276" s="4" t="str">
        <f>"30,00"</f>
        <v>30,00</v>
      </c>
      <c r="BI276" s="4" t="str">
        <f>"2034-2036"</f>
        <v>2034-2036</v>
      </c>
      <c r="BJ276" s="4" t="str">
        <f>"нет"</f>
        <v>нет</v>
      </c>
      <c r="BK276" s="4" t="str">
        <f>""</f>
        <v/>
      </c>
      <c r="BL276" s="4" t="str">
        <f>""</f>
        <v/>
      </c>
      <c r="BM276" s="4" t="str">
        <f>""</f>
        <v/>
      </c>
      <c r="BN276" s="4" t="str">
        <f>"нет"</f>
        <v>нет</v>
      </c>
      <c r="BO276" s="4" t="str">
        <f>""</f>
        <v/>
      </c>
      <c r="BP276" s="4" t="str">
        <f>""</f>
        <v/>
      </c>
      <c r="BQ276" s="4" t="str">
        <f>""</f>
        <v/>
      </c>
      <c r="BR276" s="4" t="str">
        <f>"1991"</f>
        <v>1991</v>
      </c>
      <c r="BS276" s="4" t="str">
        <f>"40,00"</f>
        <v>40,00</v>
      </c>
      <c r="BT276" s="4" t="str">
        <f>"2034-2036"</f>
        <v>2034-2036</v>
      </c>
      <c r="BU276" s="4" t="str">
        <f t="shared" si="303"/>
        <v>нет</v>
      </c>
      <c r="BV276" s="4" t="str">
        <f t="shared" si="308"/>
        <v>x</v>
      </c>
      <c r="BW276" s="4" t="str">
        <f t="shared" si="308"/>
        <v>x</v>
      </c>
      <c r="BX276" s="4" t="str">
        <f t="shared" si="308"/>
        <v>x</v>
      </c>
      <c r="BY276" s="4" t="str">
        <f>"да"</f>
        <v>да</v>
      </c>
      <c r="BZ276" s="4" t="str">
        <f>"1991"</f>
        <v>1991</v>
      </c>
      <c r="CA276" s="4" t="str">
        <f>"26,00"</f>
        <v>26,00</v>
      </c>
      <c r="CB276" s="4" t="str">
        <f>"2034-2036"</f>
        <v>2034-2036</v>
      </c>
      <c r="CC276" s="4" t="str">
        <f>"1991"</f>
        <v>1991</v>
      </c>
      <c r="CD276" s="4" t="str">
        <f>"25,00"</f>
        <v>25,00</v>
      </c>
      <c r="CE276" s="4" t="str">
        <f>"2034-2036"</f>
        <v>2034-2036</v>
      </c>
      <c r="CF276" s="4" t="str">
        <f>"1991"</f>
        <v>1991</v>
      </c>
      <c r="CG276" s="4" t="str">
        <f>"10,00"</f>
        <v>10,00</v>
      </c>
      <c r="CH276" s="4" t="str">
        <f>"2034-2036"</f>
        <v>2034-2036</v>
      </c>
      <c r="CI276" s="4" t="str">
        <f>"25,00"</f>
        <v>25,00</v>
      </c>
      <c r="CJ276" s="4" t="str">
        <f>"2034-2036"</f>
        <v>2034-2036</v>
      </c>
    </row>
    <row r="277" spans="1:88" ht="11.25" customHeight="1">
      <c r="A277" s="45" t="str">
        <f>"24.264"</f>
        <v>24.264</v>
      </c>
      <c r="B277" s="46" t="str">
        <f>"с. Шапша, ул. Центральная, д.10"</f>
        <v>с. Шапша, ул. Центральная, д.10</v>
      </c>
      <c r="C277" s="6" t="str">
        <f>"1984"</f>
        <v>1984</v>
      </c>
      <c r="D277" s="4" t="str">
        <f>"1984"</f>
        <v>1984</v>
      </c>
      <c r="E277" s="4" t="str">
        <f>"45,00"</f>
        <v>45,00</v>
      </c>
      <c r="F277" s="4" t="str">
        <f>"2030-2032"</f>
        <v>2030-2032</v>
      </c>
      <c r="G277" s="4" t="str">
        <f t="shared" si="304"/>
        <v>да</v>
      </c>
      <c r="H277" s="4" t="str">
        <f t="shared" si="305"/>
        <v>2013</v>
      </c>
      <c r="I277" s="4" t="str">
        <f t="shared" si="306"/>
        <v>1,00</v>
      </c>
      <c r="J277" s="4" t="str">
        <f>"2030-2032"</f>
        <v>2030-2032</v>
      </c>
      <c r="K277" s="4" t="str">
        <f t="shared" si="302"/>
        <v>нет</v>
      </c>
      <c r="L277" s="4" t="str">
        <f>""</f>
        <v/>
      </c>
      <c r="M277" s="4" t="str">
        <f>""</f>
        <v/>
      </c>
      <c r="N277" s="4" t="str">
        <f>""</f>
        <v/>
      </c>
      <c r="O277" s="7" t="str">
        <f>"1984"</f>
        <v>1984</v>
      </c>
      <c r="P277" s="4" t="str">
        <f>"45,00"</f>
        <v>45,00</v>
      </c>
      <c r="Q277" s="4" t="str">
        <f>"2030-2032"</f>
        <v>2030-2032</v>
      </c>
      <c r="R277" s="4" t="str">
        <f t="shared" si="307"/>
        <v>нет</v>
      </c>
      <c r="S277" s="4" t="str">
        <f>""</f>
        <v/>
      </c>
      <c r="T277" s="4" t="str">
        <f>""</f>
        <v/>
      </c>
      <c r="U277" s="4" t="str">
        <f>""</f>
        <v/>
      </c>
      <c r="V277" s="4" t="str">
        <f t="shared" si="284"/>
        <v>нет</v>
      </c>
      <c r="W277" s="4" t="str">
        <f>""</f>
        <v/>
      </c>
      <c r="X277" s="4" t="str">
        <f>""</f>
        <v/>
      </c>
      <c r="Y277" s="8" t="str">
        <f>""</f>
        <v/>
      </c>
      <c r="Z277" s="4" t="str">
        <f t="shared" si="298"/>
        <v>х</v>
      </c>
      <c r="AA277" s="4" t="str">
        <f t="shared" si="298"/>
        <v>х</v>
      </c>
      <c r="AB277" s="4" t="str">
        <f t="shared" si="298"/>
        <v>х</v>
      </c>
      <c r="AC277" s="4" t="str">
        <f t="shared" si="298"/>
        <v>х</v>
      </c>
      <c r="AD277" s="4" t="str">
        <f t="shared" si="298"/>
        <v>х</v>
      </c>
      <c r="AE277" s="4" t="str">
        <f t="shared" si="298"/>
        <v>х</v>
      </c>
      <c r="AF277" s="4" t="str">
        <f t="shared" si="298"/>
        <v>х</v>
      </c>
      <c r="AG277" s="4" t="str">
        <f t="shared" si="298"/>
        <v>х</v>
      </c>
      <c r="AH277" s="4" t="str">
        <f t="shared" si="298"/>
        <v>х</v>
      </c>
      <c r="AI277" s="4" t="str">
        <f t="shared" si="298"/>
        <v>х</v>
      </c>
      <c r="AJ277" s="4" t="str">
        <f t="shared" si="298"/>
        <v>х</v>
      </c>
      <c r="AK277" s="7" t="str">
        <f>"1984"</f>
        <v>1984</v>
      </c>
      <c r="AL277" s="4" t="str">
        <f>"45,00"</f>
        <v>45,00</v>
      </c>
      <c r="AM277" s="4" t="str">
        <f>"2030-2032"</f>
        <v>2030-2032</v>
      </c>
      <c r="AN277" s="4" t="str">
        <f>"нет"</f>
        <v>нет</v>
      </c>
      <c r="AO277" s="4" t="str">
        <f>""</f>
        <v/>
      </c>
      <c r="AP277" s="4" t="str">
        <f>""</f>
        <v/>
      </c>
      <c r="AQ277" s="4" t="str">
        <f>""</f>
        <v/>
      </c>
      <c r="AR277" s="4" t="str">
        <f>"нет"</f>
        <v>нет</v>
      </c>
      <c r="AS277" s="4" t="str">
        <f>""</f>
        <v/>
      </c>
      <c r="AT277" s="4" t="str">
        <f>""</f>
        <v/>
      </c>
      <c r="AU277" s="4" t="str">
        <f>""</f>
        <v/>
      </c>
      <c r="AV277" s="4" t="str">
        <f>""</f>
        <v/>
      </c>
      <c r="AW277" s="4" t="str">
        <f>""</f>
        <v/>
      </c>
      <c r="AX277" s="4" t="str">
        <f>""</f>
        <v/>
      </c>
      <c r="AY277" s="4" t="str">
        <f>""</f>
        <v/>
      </c>
      <c r="AZ277" s="4" t="str">
        <f>""</f>
        <v/>
      </c>
      <c r="BA277" s="4" t="str">
        <f>""</f>
        <v/>
      </c>
      <c r="BB277" s="4" t="str">
        <f>""</f>
        <v/>
      </c>
      <c r="BC277" s="4" t="str">
        <f>""</f>
        <v/>
      </c>
      <c r="BD277" s="4" t="str">
        <f>""</f>
        <v/>
      </c>
      <c r="BE277" s="4" t="str">
        <f>""</f>
        <v/>
      </c>
      <c r="BF277" s="4" t="str">
        <f>""</f>
        <v/>
      </c>
      <c r="BG277" s="4" t="str">
        <f>"1984"</f>
        <v>1984</v>
      </c>
      <c r="BH277" s="4" t="str">
        <f>"45,00"</f>
        <v>45,00</v>
      </c>
      <c r="BI277" s="4" t="str">
        <f>"2030-2032"</f>
        <v>2030-2032</v>
      </c>
      <c r="BJ277" s="4" t="str">
        <f>"нет"</f>
        <v>нет</v>
      </c>
      <c r="BK277" s="4" t="str">
        <f>""</f>
        <v/>
      </c>
      <c r="BL277" s="4" t="str">
        <f>""</f>
        <v/>
      </c>
      <c r="BM277" s="4" t="str">
        <f>""</f>
        <v/>
      </c>
      <c r="BN277" s="4" t="str">
        <f>"нет"</f>
        <v>нет</v>
      </c>
      <c r="BO277" s="4" t="str">
        <f>""</f>
        <v/>
      </c>
      <c r="BP277" s="4" t="str">
        <f>""</f>
        <v/>
      </c>
      <c r="BQ277" s="4" t="str">
        <f>""</f>
        <v/>
      </c>
      <c r="BR277" s="4" t="str">
        <f>"2006"</f>
        <v>2006</v>
      </c>
      <c r="BS277" s="4" t="str">
        <f>"50,00"</f>
        <v>50,00</v>
      </c>
      <c r="BT277" s="4" t="str">
        <f>"2030-2032"</f>
        <v>2030-2032</v>
      </c>
      <c r="BU277" s="4" t="str">
        <f t="shared" si="303"/>
        <v>нет</v>
      </c>
      <c r="BV277" s="4" t="str">
        <f t="shared" si="308"/>
        <v>x</v>
      </c>
      <c r="BW277" s="4" t="str">
        <f t="shared" si="308"/>
        <v>x</v>
      </c>
      <c r="BX277" s="4" t="str">
        <f t="shared" si="308"/>
        <v>x</v>
      </c>
      <c r="BY277" s="4" t="str">
        <f>"нет"</f>
        <v>нет</v>
      </c>
      <c r="BZ277" s="4" t="str">
        <f t="shared" ref="BZ277:CB280" si="311">"x"</f>
        <v>x</v>
      </c>
      <c r="CA277" s="4" t="str">
        <f t="shared" si="311"/>
        <v>x</v>
      </c>
      <c r="CB277" s="4" t="str">
        <f t="shared" si="311"/>
        <v>x</v>
      </c>
      <c r="CC277" s="4" t="str">
        <f>"1984"</f>
        <v>1984</v>
      </c>
      <c r="CD277" s="4" t="str">
        <f>"30,00"</f>
        <v>30,00</v>
      </c>
      <c r="CE277" s="4" t="str">
        <f>"2030-2032"</f>
        <v>2030-2032</v>
      </c>
      <c r="CF277" s="4" t="str">
        <f>"1984"</f>
        <v>1984</v>
      </c>
      <c r="CG277" s="4" t="str">
        <f>"25,00"</f>
        <v>25,00</v>
      </c>
      <c r="CH277" s="4" t="str">
        <f>"2030-2032"</f>
        <v>2030-2032</v>
      </c>
      <c r="CI277" s="4" t="str">
        <f>"28,00"</f>
        <v>28,00</v>
      </c>
      <c r="CJ277" s="4" t="str">
        <f>"2030-2032"</f>
        <v>2030-2032</v>
      </c>
    </row>
    <row r="278" spans="1:88" ht="11.25" customHeight="1">
      <c r="A278" s="45" t="str">
        <f>"24.265"</f>
        <v>24.265</v>
      </c>
      <c r="B278" s="46" t="str">
        <f>"с. Шапша, ул. Центральная, д.8"</f>
        <v>с. Шапша, ул. Центральная, д.8</v>
      </c>
      <c r="C278" s="6" t="str">
        <f>"1984"</f>
        <v>1984</v>
      </c>
      <c r="D278" s="4" t="str">
        <f>"1984"</f>
        <v>1984</v>
      </c>
      <c r="E278" s="4" t="str">
        <f>"45,00"</f>
        <v>45,00</v>
      </c>
      <c r="F278" s="4" t="str">
        <f>"2030-2032"</f>
        <v>2030-2032</v>
      </c>
      <c r="G278" s="4" t="str">
        <f t="shared" si="304"/>
        <v>да</v>
      </c>
      <c r="H278" s="4" t="str">
        <f t="shared" si="305"/>
        <v>2013</v>
      </c>
      <c r="I278" s="4" t="str">
        <f t="shared" si="306"/>
        <v>1,00</v>
      </c>
      <c r="J278" s="4" t="str">
        <f>"2030-2032"</f>
        <v>2030-2032</v>
      </c>
      <c r="K278" s="4" t="str">
        <f t="shared" si="302"/>
        <v>нет</v>
      </c>
      <c r="L278" s="4" t="str">
        <f>""</f>
        <v/>
      </c>
      <c r="M278" s="4" t="str">
        <f>""</f>
        <v/>
      </c>
      <c r="N278" s="4" t="str">
        <f>""</f>
        <v/>
      </c>
      <c r="O278" s="7" t="str">
        <f>"1984"</f>
        <v>1984</v>
      </c>
      <c r="P278" s="4" t="str">
        <f>"45,00"</f>
        <v>45,00</v>
      </c>
      <c r="Q278" s="4" t="str">
        <f>"2030-2032"</f>
        <v>2030-2032</v>
      </c>
      <c r="R278" s="4" t="str">
        <f t="shared" si="307"/>
        <v>нет</v>
      </c>
      <c r="S278" s="4" t="str">
        <f>""</f>
        <v/>
      </c>
      <c r="T278" s="4" t="str">
        <f>""</f>
        <v/>
      </c>
      <c r="U278" s="4" t="str">
        <f>""</f>
        <v/>
      </c>
      <c r="V278" s="4" t="str">
        <f t="shared" si="284"/>
        <v>нет</v>
      </c>
      <c r="W278" s="4" t="str">
        <f>""</f>
        <v/>
      </c>
      <c r="X278" s="4" t="str">
        <f>""</f>
        <v/>
      </c>
      <c r="Y278" s="8" t="str">
        <f>""</f>
        <v/>
      </c>
      <c r="Z278" s="4" t="str">
        <f t="shared" si="298"/>
        <v>х</v>
      </c>
      <c r="AA278" s="4" t="str">
        <f t="shared" si="298"/>
        <v>х</v>
      </c>
      <c r="AB278" s="4" t="str">
        <f t="shared" si="298"/>
        <v>х</v>
      </c>
      <c r="AC278" s="4" t="str">
        <f t="shared" si="298"/>
        <v>х</v>
      </c>
      <c r="AD278" s="4" t="str">
        <f t="shared" si="298"/>
        <v>х</v>
      </c>
      <c r="AE278" s="4" t="str">
        <f t="shared" si="298"/>
        <v>х</v>
      </c>
      <c r="AF278" s="4" t="str">
        <f t="shared" si="298"/>
        <v>х</v>
      </c>
      <c r="AG278" s="4" t="str">
        <f t="shared" si="298"/>
        <v>х</v>
      </c>
      <c r="AH278" s="4" t="str">
        <f t="shared" si="298"/>
        <v>х</v>
      </c>
      <c r="AI278" s="4" t="str">
        <f t="shared" si="298"/>
        <v>х</v>
      </c>
      <c r="AJ278" s="4" t="str">
        <f t="shared" si="298"/>
        <v>х</v>
      </c>
      <c r="AK278" s="7" t="str">
        <f>"1984"</f>
        <v>1984</v>
      </c>
      <c r="AL278" s="4" t="str">
        <f>"45,00"</f>
        <v>45,00</v>
      </c>
      <c r="AM278" s="4" t="str">
        <f>"2030-2032"</f>
        <v>2030-2032</v>
      </c>
      <c r="AN278" s="4" t="str">
        <f>"нет"</f>
        <v>нет</v>
      </c>
      <c r="AO278" s="4" t="str">
        <f>""</f>
        <v/>
      </c>
      <c r="AP278" s="4" t="str">
        <f>""</f>
        <v/>
      </c>
      <c r="AQ278" s="4" t="str">
        <f>""</f>
        <v/>
      </c>
      <c r="AR278" s="4" t="str">
        <f>"нет"</f>
        <v>нет</v>
      </c>
      <c r="AS278" s="4" t="str">
        <f>""</f>
        <v/>
      </c>
      <c r="AT278" s="4" t="str">
        <f>""</f>
        <v/>
      </c>
      <c r="AU278" s="4" t="str">
        <f>""</f>
        <v/>
      </c>
      <c r="AV278" s="4" t="str">
        <f>""</f>
        <v/>
      </c>
      <c r="AW278" s="4" t="str">
        <f>""</f>
        <v/>
      </c>
      <c r="AX278" s="4" t="str">
        <f>""</f>
        <v/>
      </c>
      <c r="AY278" s="4" t="str">
        <f>""</f>
        <v/>
      </c>
      <c r="AZ278" s="4" t="str">
        <f>""</f>
        <v/>
      </c>
      <c r="BA278" s="4" t="str">
        <f>""</f>
        <v/>
      </c>
      <c r="BB278" s="4" t="str">
        <f>""</f>
        <v/>
      </c>
      <c r="BC278" s="4" t="str">
        <f>""</f>
        <v/>
      </c>
      <c r="BD278" s="4" t="str">
        <f>""</f>
        <v/>
      </c>
      <c r="BE278" s="4" t="str">
        <f>""</f>
        <v/>
      </c>
      <c r="BF278" s="4" t="str">
        <f>""</f>
        <v/>
      </c>
      <c r="BG278" s="4" t="str">
        <f>"1984"</f>
        <v>1984</v>
      </c>
      <c r="BH278" s="4" t="str">
        <f>"45,00"</f>
        <v>45,00</v>
      </c>
      <c r="BI278" s="4" t="str">
        <f>"2030-2032"</f>
        <v>2030-2032</v>
      </c>
      <c r="BJ278" s="4" t="str">
        <f>"нет"</f>
        <v>нет</v>
      </c>
      <c r="BK278" s="4" t="str">
        <f>""</f>
        <v/>
      </c>
      <c r="BL278" s="4" t="str">
        <f>""</f>
        <v/>
      </c>
      <c r="BM278" s="4" t="str">
        <f>""</f>
        <v/>
      </c>
      <c r="BN278" s="4" t="str">
        <f>"нет"</f>
        <v>нет</v>
      </c>
      <c r="BO278" s="4" t="str">
        <f>""</f>
        <v/>
      </c>
      <c r="BP278" s="4" t="str">
        <f>""</f>
        <v/>
      </c>
      <c r="BQ278" s="4" t="str">
        <f>""</f>
        <v/>
      </c>
      <c r="BR278" s="4" t="str">
        <f>"2013"</f>
        <v>2013</v>
      </c>
      <c r="BS278" s="4" t="str">
        <f>"45,00"</f>
        <v>45,00</v>
      </c>
      <c r="BT278" s="4" t="str">
        <f>"2030-2032"</f>
        <v>2030-2032</v>
      </c>
      <c r="BU278" s="4" t="str">
        <f t="shared" si="303"/>
        <v>нет</v>
      </c>
      <c r="BV278" s="4" t="str">
        <f t="shared" si="308"/>
        <v>x</v>
      </c>
      <c r="BW278" s="4" t="str">
        <f t="shared" si="308"/>
        <v>x</v>
      </c>
      <c r="BX278" s="4" t="str">
        <f t="shared" si="308"/>
        <v>x</v>
      </c>
      <c r="BY278" s="4" t="str">
        <f>"нет"</f>
        <v>нет</v>
      </c>
      <c r="BZ278" s="4" t="str">
        <f t="shared" si="311"/>
        <v>x</v>
      </c>
      <c r="CA278" s="4" t="str">
        <f t="shared" si="311"/>
        <v>x</v>
      </c>
      <c r="CB278" s="4" t="str">
        <f t="shared" si="311"/>
        <v>x</v>
      </c>
      <c r="CC278" s="4" t="str">
        <f>"1984"</f>
        <v>1984</v>
      </c>
      <c r="CD278" s="4" t="str">
        <f>"25,00"</f>
        <v>25,00</v>
      </c>
      <c r="CE278" s="4" t="str">
        <f>"2030-2032"</f>
        <v>2030-2032</v>
      </c>
      <c r="CF278" s="4" t="str">
        <f>"1984"</f>
        <v>1984</v>
      </c>
      <c r="CG278" s="4" t="str">
        <f>"25,00"</f>
        <v>25,00</v>
      </c>
      <c r="CH278" s="4" t="str">
        <f>"2030-2032"</f>
        <v>2030-2032</v>
      </c>
      <c r="CI278" s="4" t="str">
        <f>"29,00"</f>
        <v>29,00</v>
      </c>
      <c r="CJ278" s="4" t="str">
        <f>"2030-2032"</f>
        <v>2030-2032</v>
      </c>
    </row>
    <row r="279" spans="1:88" ht="11.25" customHeight="1">
      <c r="A279" s="45" t="str">
        <f>"24.266"</f>
        <v>24.266</v>
      </c>
      <c r="B279" s="46" t="str">
        <f>"ст. Семигородняя, ул. Привокзальная, д.10"</f>
        <v>ст. Семигородняя, ул. Привокзальная, д.10</v>
      </c>
      <c r="C279" s="6" t="str">
        <f>"1897"</f>
        <v>1897</v>
      </c>
      <c r="D279" s="4" t="str">
        <f>"1916"</f>
        <v>1916</v>
      </c>
      <c r="E279" s="4" t="str">
        <f>"35,00"</f>
        <v>35,00</v>
      </c>
      <c r="F279" s="4" t="str">
        <f>"2015-2017"</f>
        <v>2015-2017</v>
      </c>
      <c r="G279" s="4" t="str">
        <f>"нет"</f>
        <v>нет</v>
      </c>
      <c r="H279" s="4" t="str">
        <f>""</f>
        <v/>
      </c>
      <c r="I279" s="4" t="str">
        <f>""</f>
        <v/>
      </c>
      <c r="J279" s="4" t="str">
        <f>"2015-2017"</f>
        <v>2015-2017</v>
      </c>
      <c r="K279" s="4" t="str">
        <f t="shared" si="302"/>
        <v>нет</v>
      </c>
      <c r="L279" s="4" t="str">
        <f>""</f>
        <v/>
      </c>
      <c r="M279" s="4" t="str">
        <f>""</f>
        <v/>
      </c>
      <c r="N279" s="4" t="str">
        <f>""</f>
        <v/>
      </c>
      <c r="O279" s="7" t="str">
        <f>"1916"</f>
        <v>1916</v>
      </c>
      <c r="P279" s="4" t="str">
        <f>"35,00"</f>
        <v>35,00</v>
      </c>
      <c r="Q279" s="4" t="str">
        <f>"2015-2017"</f>
        <v>2015-2017</v>
      </c>
      <c r="R279" s="4" t="str">
        <f t="shared" si="307"/>
        <v>нет</v>
      </c>
      <c r="S279" s="4" t="str">
        <f>""</f>
        <v/>
      </c>
      <c r="T279" s="4" t="str">
        <f>""</f>
        <v/>
      </c>
      <c r="U279" s="4" t="str">
        <f>""</f>
        <v/>
      </c>
      <c r="V279" s="4" t="str">
        <f t="shared" si="284"/>
        <v>нет</v>
      </c>
      <c r="W279" s="4" t="str">
        <f>""</f>
        <v/>
      </c>
      <c r="X279" s="4" t="str">
        <f>""</f>
        <v/>
      </c>
      <c r="Y279" s="8" t="str">
        <f>""</f>
        <v/>
      </c>
      <c r="Z279" s="4" t="str">
        <f t="shared" si="298"/>
        <v>х</v>
      </c>
      <c r="AA279" s="4" t="str">
        <f t="shared" si="298"/>
        <v>х</v>
      </c>
      <c r="AB279" s="4" t="str">
        <f t="shared" si="298"/>
        <v>х</v>
      </c>
      <c r="AC279" s="4" t="str">
        <f t="shared" si="298"/>
        <v>х</v>
      </c>
      <c r="AD279" s="4" t="str">
        <f t="shared" si="298"/>
        <v>х</v>
      </c>
      <c r="AE279" s="4" t="str">
        <f t="shared" si="298"/>
        <v>х</v>
      </c>
      <c r="AF279" s="4" t="str">
        <f t="shared" si="298"/>
        <v>х</v>
      </c>
      <c r="AG279" s="4" t="str">
        <f t="shared" si="298"/>
        <v>х</v>
      </c>
      <c r="AH279" s="4" t="str">
        <f t="shared" si="298"/>
        <v>х</v>
      </c>
      <c r="AI279" s="4" t="str">
        <f t="shared" si="298"/>
        <v>х</v>
      </c>
      <c r="AJ279" s="4" t="str">
        <f t="shared" si="298"/>
        <v>х</v>
      </c>
      <c r="AK279" s="7" t="str">
        <f>"1916"</f>
        <v>1916</v>
      </c>
      <c r="AL279" s="4" t="str">
        <f>"35,00"</f>
        <v>35,00</v>
      </c>
      <c r="AM279" s="4" t="str">
        <f>"2025-2027"</f>
        <v>2025-2027</v>
      </c>
      <c r="AN279" s="4" t="str">
        <f>"нет"</f>
        <v>нет</v>
      </c>
      <c r="AO279" s="4" t="str">
        <f>""</f>
        <v/>
      </c>
      <c r="AP279" s="4" t="str">
        <f>""</f>
        <v/>
      </c>
      <c r="AQ279" s="4" t="str">
        <f>""</f>
        <v/>
      </c>
      <c r="AR279" s="4" t="str">
        <f>"нет"</f>
        <v>нет</v>
      </c>
      <c r="AS279" s="4" t="str">
        <f>""</f>
        <v/>
      </c>
      <c r="AT279" s="4" t="str">
        <f>""</f>
        <v/>
      </c>
      <c r="AU279" s="4" t="str">
        <f>""</f>
        <v/>
      </c>
      <c r="AV279" s="4" t="str">
        <f t="shared" ref="AV279:BE280" si="312">"х"</f>
        <v>х</v>
      </c>
      <c r="AW279" s="4" t="str">
        <f t="shared" si="312"/>
        <v>х</v>
      </c>
      <c r="AX279" s="4" t="str">
        <f t="shared" si="312"/>
        <v>х</v>
      </c>
      <c r="AY279" s="4" t="str">
        <f t="shared" si="312"/>
        <v>х</v>
      </c>
      <c r="AZ279" s="4" t="str">
        <f t="shared" si="312"/>
        <v>х</v>
      </c>
      <c r="BA279" s="4" t="str">
        <f t="shared" si="312"/>
        <v>х</v>
      </c>
      <c r="BB279" s="4" t="str">
        <f t="shared" si="312"/>
        <v>х</v>
      </c>
      <c r="BC279" s="4" t="str">
        <f t="shared" si="312"/>
        <v>х</v>
      </c>
      <c r="BD279" s="4" t="str">
        <f t="shared" si="312"/>
        <v>х</v>
      </c>
      <c r="BE279" s="4" t="str">
        <f t="shared" si="312"/>
        <v>х</v>
      </c>
      <c r="BF279" s="4" t="str">
        <f t="shared" ref="BF279:BQ280" si="313">"х"</f>
        <v>х</v>
      </c>
      <c r="BG279" s="4" t="str">
        <f t="shared" si="313"/>
        <v>х</v>
      </c>
      <c r="BH279" s="4" t="str">
        <f t="shared" si="313"/>
        <v>х</v>
      </c>
      <c r="BI279" s="4" t="str">
        <f t="shared" si="313"/>
        <v>х</v>
      </c>
      <c r="BJ279" s="4" t="str">
        <f t="shared" si="313"/>
        <v>х</v>
      </c>
      <c r="BK279" s="4" t="str">
        <f t="shared" si="313"/>
        <v>х</v>
      </c>
      <c r="BL279" s="4" t="str">
        <f t="shared" si="313"/>
        <v>х</v>
      </c>
      <c r="BM279" s="4" t="str">
        <f t="shared" si="313"/>
        <v>х</v>
      </c>
      <c r="BN279" s="4" t="str">
        <f t="shared" si="313"/>
        <v>х</v>
      </c>
      <c r="BO279" s="4" t="str">
        <f t="shared" si="313"/>
        <v>х</v>
      </c>
      <c r="BP279" s="4" t="str">
        <f t="shared" si="313"/>
        <v>х</v>
      </c>
      <c r="BQ279" s="4" t="str">
        <f t="shared" si="313"/>
        <v>х</v>
      </c>
      <c r="BR279" s="4" t="str">
        <f>"1916"</f>
        <v>1916</v>
      </c>
      <c r="BS279" s="4" t="str">
        <f>"35,00"</f>
        <v>35,00</v>
      </c>
      <c r="BT279" s="4" t="str">
        <f>"2025-2027"</f>
        <v>2025-2027</v>
      </c>
      <c r="BU279" s="4" t="str">
        <f t="shared" si="303"/>
        <v>нет</v>
      </c>
      <c r="BV279" s="4" t="str">
        <f t="shared" si="308"/>
        <v>x</v>
      </c>
      <c r="BW279" s="4" t="str">
        <f t="shared" si="308"/>
        <v>x</v>
      </c>
      <c r="BX279" s="4" t="str">
        <f t="shared" si="308"/>
        <v>x</v>
      </c>
      <c r="BY279" s="4" t="str">
        <f>"нет"</f>
        <v>нет</v>
      </c>
      <c r="BZ279" s="4" t="str">
        <f t="shared" si="311"/>
        <v>x</v>
      </c>
      <c r="CA279" s="4" t="str">
        <f t="shared" si="311"/>
        <v>x</v>
      </c>
      <c r="CB279" s="4" t="str">
        <f t="shared" si="311"/>
        <v>x</v>
      </c>
      <c r="CC279" s="4" t="str">
        <f>"1916"</f>
        <v>1916</v>
      </c>
      <c r="CD279" s="4" t="str">
        <f>"35,00"</f>
        <v>35,00</v>
      </c>
      <c r="CE279" s="4" t="str">
        <f>"2021-2023"</f>
        <v>2021-2023</v>
      </c>
      <c r="CF279" s="4" t="str">
        <f>"1916"</f>
        <v>1916</v>
      </c>
      <c r="CG279" s="4" t="str">
        <f>"45,00"</f>
        <v>45,00</v>
      </c>
      <c r="CH279" s="4" t="str">
        <f>"2021-2023"</f>
        <v>2021-2023</v>
      </c>
      <c r="CI279" s="4" t="str">
        <f>"45,00"</f>
        <v>45,00</v>
      </c>
      <c r="CJ279" s="4" t="str">
        <f>"2015-2017"</f>
        <v>2015-2017</v>
      </c>
    </row>
    <row r="280" spans="1:88" ht="11.25" customHeight="1">
      <c r="A280" s="45" t="str">
        <f>"24.267"</f>
        <v>24.267</v>
      </c>
      <c r="B280" s="46" t="str">
        <f>"ст. Семигородняя, ул. Привокзальная, д.8"</f>
        <v>ст. Семигородняя, ул. Привокзальная, д.8</v>
      </c>
      <c r="C280" s="6" t="str">
        <f>"1985"</f>
        <v>1985</v>
      </c>
      <c r="D280" s="4" t="str">
        <f>"1985"</f>
        <v>1985</v>
      </c>
      <c r="E280" s="4" t="str">
        <f>"22,00"</f>
        <v>22,00</v>
      </c>
      <c r="F280" s="4" t="str">
        <f>"2030-2032"</f>
        <v>2030-2032</v>
      </c>
      <c r="G280" s="4" t="str">
        <f>"нет"</f>
        <v>нет</v>
      </c>
      <c r="H280" s="4" t="str">
        <f>""</f>
        <v/>
      </c>
      <c r="I280" s="4" t="str">
        <f>""</f>
        <v/>
      </c>
      <c r="J280" s="4" t="str">
        <f>""</f>
        <v/>
      </c>
      <c r="K280" s="4" t="str">
        <f t="shared" si="302"/>
        <v>нет</v>
      </c>
      <c r="L280" s="4" t="str">
        <f>""</f>
        <v/>
      </c>
      <c r="M280" s="4" t="str">
        <f>""</f>
        <v/>
      </c>
      <c r="N280" s="4" t="str">
        <f>""</f>
        <v/>
      </c>
      <c r="O280" s="7" t="str">
        <f t="shared" ref="O280:Y280" si="314">"х"</f>
        <v>х</v>
      </c>
      <c r="P280" s="4" t="str">
        <f t="shared" si="314"/>
        <v>х</v>
      </c>
      <c r="Q280" s="4" t="str">
        <f t="shared" si="314"/>
        <v>х</v>
      </c>
      <c r="R280" s="4" t="str">
        <f t="shared" si="314"/>
        <v>х</v>
      </c>
      <c r="S280" s="4" t="str">
        <f t="shared" si="314"/>
        <v>х</v>
      </c>
      <c r="T280" s="4" t="str">
        <f t="shared" si="314"/>
        <v>х</v>
      </c>
      <c r="U280" s="4" t="str">
        <f t="shared" si="314"/>
        <v>х</v>
      </c>
      <c r="V280" s="4" t="str">
        <f t="shared" si="314"/>
        <v>х</v>
      </c>
      <c r="W280" s="4" t="str">
        <f t="shared" si="314"/>
        <v>х</v>
      </c>
      <c r="X280" s="4" t="str">
        <f t="shared" si="314"/>
        <v>х</v>
      </c>
      <c r="Y280" s="8" t="str">
        <f t="shared" si="314"/>
        <v>х</v>
      </c>
      <c r="Z280" s="4" t="str">
        <f t="shared" si="298"/>
        <v>х</v>
      </c>
      <c r="AA280" s="4" t="str">
        <f t="shared" si="298"/>
        <v>х</v>
      </c>
      <c r="AB280" s="4" t="str">
        <f t="shared" si="298"/>
        <v>х</v>
      </c>
      <c r="AC280" s="4" t="str">
        <f t="shared" si="298"/>
        <v>х</v>
      </c>
      <c r="AD280" s="4" t="str">
        <f t="shared" si="298"/>
        <v>х</v>
      </c>
      <c r="AE280" s="4" t="str">
        <f t="shared" si="298"/>
        <v>х</v>
      </c>
      <c r="AF280" s="4" t="str">
        <f t="shared" si="298"/>
        <v>х</v>
      </c>
      <c r="AG280" s="4" t="str">
        <f t="shared" si="298"/>
        <v>х</v>
      </c>
      <c r="AH280" s="4" t="str">
        <f t="shared" si="298"/>
        <v>х</v>
      </c>
      <c r="AI280" s="4" t="str">
        <f t="shared" si="298"/>
        <v>х</v>
      </c>
      <c r="AJ280" s="4" t="str">
        <f t="shared" si="298"/>
        <v>х</v>
      </c>
      <c r="AK280" s="7" t="str">
        <f>"1985"</f>
        <v>1985</v>
      </c>
      <c r="AL280" s="4" t="str">
        <f>"22,00"</f>
        <v>22,00</v>
      </c>
      <c r="AM280" s="4" t="str">
        <f>"2030-2032"</f>
        <v>2030-2032</v>
      </c>
      <c r="AN280" s="4" t="str">
        <f>"нет"</f>
        <v>нет</v>
      </c>
      <c r="AO280" s="4" t="str">
        <f>""</f>
        <v/>
      </c>
      <c r="AP280" s="4" t="str">
        <f>""</f>
        <v/>
      </c>
      <c r="AQ280" s="4" t="str">
        <f>""</f>
        <v/>
      </c>
      <c r="AR280" s="4" t="str">
        <f>"нет"</f>
        <v>нет</v>
      </c>
      <c r="AS280" s="4" t="str">
        <f>""</f>
        <v/>
      </c>
      <c r="AT280" s="4" t="str">
        <f>""</f>
        <v/>
      </c>
      <c r="AU280" s="4" t="str">
        <f>""</f>
        <v/>
      </c>
      <c r="AV280" s="4" t="str">
        <f t="shared" si="312"/>
        <v>х</v>
      </c>
      <c r="AW280" s="4" t="str">
        <f t="shared" si="312"/>
        <v>х</v>
      </c>
      <c r="AX280" s="4" t="str">
        <f t="shared" si="312"/>
        <v>х</v>
      </c>
      <c r="AY280" s="4" t="str">
        <f t="shared" si="312"/>
        <v>х</v>
      </c>
      <c r="AZ280" s="4" t="str">
        <f t="shared" si="312"/>
        <v>х</v>
      </c>
      <c r="BA280" s="4" t="str">
        <f t="shared" si="312"/>
        <v>х</v>
      </c>
      <c r="BB280" s="4" t="str">
        <f t="shared" si="312"/>
        <v>х</v>
      </c>
      <c r="BC280" s="4" t="str">
        <f t="shared" si="312"/>
        <v>х</v>
      </c>
      <c r="BD280" s="4" t="str">
        <f t="shared" si="312"/>
        <v>х</v>
      </c>
      <c r="BE280" s="4" t="str">
        <f t="shared" si="312"/>
        <v>х</v>
      </c>
      <c r="BF280" s="4" t="str">
        <f t="shared" si="313"/>
        <v>х</v>
      </c>
      <c r="BG280" s="4" t="str">
        <f t="shared" si="313"/>
        <v>х</v>
      </c>
      <c r="BH280" s="4" t="str">
        <f t="shared" si="313"/>
        <v>х</v>
      </c>
      <c r="BI280" s="4" t="str">
        <f t="shared" si="313"/>
        <v>х</v>
      </c>
      <c r="BJ280" s="4" t="str">
        <f t="shared" si="313"/>
        <v>х</v>
      </c>
      <c r="BK280" s="4" t="str">
        <f t="shared" si="313"/>
        <v>х</v>
      </c>
      <c r="BL280" s="4" t="str">
        <f t="shared" si="313"/>
        <v>х</v>
      </c>
      <c r="BM280" s="4" t="str">
        <f t="shared" si="313"/>
        <v>х</v>
      </c>
      <c r="BN280" s="4" t="str">
        <f t="shared" si="313"/>
        <v>х</v>
      </c>
      <c r="BO280" s="4" t="str">
        <f t="shared" si="313"/>
        <v>х</v>
      </c>
      <c r="BP280" s="4" t="str">
        <f t="shared" si="313"/>
        <v>х</v>
      </c>
      <c r="BQ280" s="4" t="str">
        <f t="shared" si="313"/>
        <v>х</v>
      </c>
      <c r="BR280" s="4" t="str">
        <f>"1985"</f>
        <v>1985</v>
      </c>
      <c r="BS280" s="4" t="str">
        <f>"22,00"</f>
        <v>22,00</v>
      </c>
      <c r="BT280" s="4" t="str">
        <f>"2030-2032"</f>
        <v>2030-2032</v>
      </c>
      <c r="BU280" s="4" t="str">
        <f t="shared" si="303"/>
        <v>нет</v>
      </c>
      <c r="BV280" s="4" t="str">
        <f t="shared" si="308"/>
        <v>x</v>
      </c>
      <c r="BW280" s="4" t="str">
        <f t="shared" si="308"/>
        <v>x</v>
      </c>
      <c r="BX280" s="4" t="str">
        <f t="shared" si="308"/>
        <v>x</v>
      </c>
      <c r="BY280" s="4" t="str">
        <f>"нет"</f>
        <v>нет</v>
      </c>
      <c r="BZ280" s="4" t="str">
        <f t="shared" si="311"/>
        <v>x</v>
      </c>
      <c r="CA280" s="4" t="str">
        <f t="shared" si="311"/>
        <v>x</v>
      </c>
      <c r="CB280" s="4" t="str">
        <f t="shared" si="311"/>
        <v>x</v>
      </c>
      <c r="CC280" s="4" t="str">
        <f>"1985"</f>
        <v>1985</v>
      </c>
      <c r="CD280" s="4" t="str">
        <f>"22,00"</f>
        <v>22,00</v>
      </c>
      <c r="CE280" s="4" t="str">
        <f>"2030-2032"</f>
        <v>2030-2032</v>
      </c>
      <c r="CF280" s="4" t="str">
        <f>"1985"</f>
        <v>1985</v>
      </c>
      <c r="CG280" s="4" t="str">
        <f>"22,00"</f>
        <v>22,00</v>
      </c>
      <c r="CH280" s="4" t="str">
        <f>"2030-2032"</f>
        <v>2030-2032</v>
      </c>
      <c r="CI280" s="4" t="str">
        <f>"27,00"</f>
        <v>27,00</v>
      </c>
      <c r="CJ280" s="4" t="str">
        <f>"2030-2032"</f>
        <v>2030-2032</v>
      </c>
    </row>
  </sheetData>
  <mergeCells count="71">
    <mergeCell ref="A8:CJ8"/>
    <mergeCell ref="A9:CJ9"/>
    <mergeCell ref="A10:CJ10"/>
    <mergeCell ref="A11:CJ11"/>
    <mergeCell ref="A12:CJ12"/>
    <mergeCell ref="A13:CJ13"/>
    <mergeCell ref="A2:A6"/>
    <mergeCell ref="B2:B6"/>
    <mergeCell ref="C2:C6"/>
    <mergeCell ref="D2:CH2"/>
    <mergeCell ref="CI2:CI6"/>
    <mergeCell ref="CJ2:CJ6"/>
    <mergeCell ref="D3:BQ3"/>
    <mergeCell ref="BR3:BT4"/>
    <mergeCell ref="BU3:BX4"/>
    <mergeCell ref="BY3:CB4"/>
    <mergeCell ref="CC3:CE4"/>
    <mergeCell ref="CF3:CH4"/>
    <mergeCell ref="D4:N4"/>
    <mergeCell ref="O4:Y4"/>
    <mergeCell ref="Z4:AJ4"/>
    <mergeCell ref="AK4:AU4"/>
    <mergeCell ref="AV4:BF4"/>
    <mergeCell ref="BG4:BQ4"/>
    <mergeCell ref="D5:D6"/>
    <mergeCell ref="E5:E6"/>
    <mergeCell ref="F5:F6"/>
    <mergeCell ref="G5:J5"/>
    <mergeCell ref="K5:N5"/>
    <mergeCell ref="O5:O6"/>
    <mergeCell ref="P5:P6"/>
    <mergeCell ref="Q5:Q6"/>
    <mergeCell ref="R5:U5"/>
    <mergeCell ref="V5:Y5"/>
    <mergeCell ref="Z5:Z6"/>
    <mergeCell ref="AA5:AA6"/>
    <mergeCell ref="AB5:AB6"/>
    <mergeCell ref="AC5:AF5"/>
    <mergeCell ref="AG5:AJ5"/>
    <mergeCell ref="AK5:AK6"/>
    <mergeCell ref="AL5:AL6"/>
    <mergeCell ref="AM5:AM6"/>
    <mergeCell ref="AN5:AQ5"/>
    <mergeCell ref="AR5:AU5"/>
    <mergeCell ref="AV5:AV6"/>
    <mergeCell ref="AW5:AW6"/>
    <mergeCell ref="AX5:AX6"/>
    <mergeCell ref="AY5:BB5"/>
    <mergeCell ref="BC5:BF5"/>
    <mergeCell ref="BG5:BG6"/>
    <mergeCell ref="BH5:BH6"/>
    <mergeCell ref="BI5:BI6"/>
    <mergeCell ref="BJ5:BM5"/>
    <mergeCell ref="BN5:BQ5"/>
    <mergeCell ref="BR5:BR6"/>
    <mergeCell ref="BS5:BS6"/>
    <mergeCell ref="BT5:BT6"/>
    <mergeCell ref="BU5:BU6"/>
    <mergeCell ref="BV5:BV6"/>
    <mergeCell ref="BW5:BW6"/>
    <mergeCell ref="CG5:CG6"/>
    <mergeCell ref="CH5:CH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</mergeCells>
  <pageMargins left="0.19685039370078741" right="0.19685039370078741" top="0.19685039370078741" bottom="0.19685039370078741" header="0.51181102362204722" footer="0.51181102362204722"/>
  <pageSetup paperSize="9" scale="3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/>
  </sheetViews>
  <sheetFormatPr defaultColWidth="9.140625" defaultRowHeight="12.75" customHeight="1"/>
  <cols>
    <col min="1" max="1" width="9.140625" customWidth="1"/>
    <col min="2" max="2" width="35.85546875" customWidth="1"/>
    <col min="3" max="6" width="15.42578125" customWidth="1"/>
    <col min="7" max="7" width="12.7109375" customWidth="1"/>
  </cols>
  <sheetData>
    <row r="1" spans="1:7" ht="15">
      <c r="A1" s="9"/>
      <c r="B1" s="9"/>
      <c r="C1" s="9"/>
      <c r="D1" s="9"/>
      <c r="E1" s="9"/>
      <c r="F1" s="9"/>
      <c r="G1" s="9"/>
    </row>
    <row r="2" spans="1:7" ht="15" customHeight="1">
      <c r="A2" s="44" t="s">
        <v>0</v>
      </c>
      <c r="B2" s="44" t="s">
        <v>29</v>
      </c>
      <c r="C2" s="44" t="s">
        <v>30</v>
      </c>
      <c r="D2" s="44" t="s">
        <v>25</v>
      </c>
      <c r="E2" s="44"/>
      <c r="F2" s="44"/>
      <c r="G2" s="44" t="s">
        <v>31</v>
      </c>
    </row>
    <row r="3" spans="1:7" ht="15">
      <c r="A3" s="44"/>
      <c r="B3" s="44"/>
      <c r="C3" s="44"/>
      <c r="D3" s="10" t="s">
        <v>26</v>
      </c>
      <c r="E3" s="10" t="s">
        <v>27</v>
      </c>
      <c r="F3" s="10" t="s">
        <v>28</v>
      </c>
      <c r="G3" s="44"/>
    </row>
    <row r="4" spans="1:7" ht="15" customHeight="1">
      <c r="A4" s="4" t="str">
        <f>"1"</f>
        <v>1</v>
      </c>
      <c r="B4" s="3" t="s">
        <v>39</v>
      </c>
      <c r="C4" s="11">
        <v>166</v>
      </c>
      <c r="D4" s="11">
        <v>165</v>
      </c>
      <c r="E4" s="11">
        <v>1</v>
      </c>
      <c r="F4" s="11">
        <v>0</v>
      </c>
      <c r="G4" s="12">
        <v>99.397590361445793</v>
      </c>
    </row>
    <row r="5" spans="1:7" ht="15" customHeight="1">
      <c r="A5" s="4" t="str">
        <f>"2"</f>
        <v>2</v>
      </c>
      <c r="B5" s="3" t="s">
        <v>40</v>
      </c>
      <c r="C5" s="11">
        <v>12</v>
      </c>
      <c r="D5" s="11">
        <v>12</v>
      </c>
      <c r="E5" s="11">
        <v>0</v>
      </c>
      <c r="F5" s="11">
        <v>0</v>
      </c>
      <c r="G5" s="12">
        <v>100</v>
      </c>
    </row>
    <row r="6" spans="1:7" ht="15" customHeight="1">
      <c r="A6" s="4" t="str">
        <f>"3"</f>
        <v>3</v>
      </c>
      <c r="B6" s="3" t="s">
        <v>41</v>
      </c>
      <c r="C6" s="11">
        <v>244</v>
      </c>
      <c r="D6" s="11">
        <v>243</v>
      </c>
      <c r="E6" s="11">
        <v>1</v>
      </c>
      <c r="F6" s="11">
        <v>0</v>
      </c>
      <c r="G6" s="12">
        <v>99.590163934426201</v>
      </c>
    </row>
    <row r="7" spans="1:7" ht="15" customHeight="1">
      <c r="A7" s="4" t="str">
        <f>"4"</f>
        <v>4</v>
      </c>
      <c r="B7" s="3" t="s">
        <v>42</v>
      </c>
      <c r="C7" s="11">
        <v>72</v>
      </c>
      <c r="D7" s="11">
        <v>71</v>
      </c>
      <c r="E7" s="11">
        <v>1</v>
      </c>
      <c r="F7" s="11">
        <v>0</v>
      </c>
      <c r="G7" s="12">
        <v>98.6111111111111</v>
      </c>
    </row>
    <row r="8" spans="1:7" ht="15" customHeight="1">
      <c r="A8" s="4" t="str">
        <f>"5"</f>
        <v>5</v>
      </c>
      <c r="B8" s="3" t="s">
        <v>43</v>
      </c>
      <c r="C8" s="11">
        <v>951</v>
      </c>
      <c r="D8" s="11">
        <v>944</v>
      </c>
      <c r="E8" s="11">
        <v>7</v>
      </c>
      <c r="F8" s="11">
        <v>0</v>
      </c>
      <c r="G8" s="12">
        <v>99.263932702418501</v>
      </c>
    </row>
    <row r="9" spans="1:7" ht="15" customHeight="1">
      <c r="A9" s="4" t="str">
        <f>"6"</f>
        <v>6</v>
      </c>
      <c r="B9" s="3" t="s">
        <v>44</v>
      </c>
      <c r="C9" s="11">
        <v>85</v>
      </c>
      <c r="D9" s="11">
        <v>85</v>
      </c>
      <c r="E9" s="11">
        <v>0</v>
      </c>
      <c r="F9" s="11">
        <v>0</v>
      </c>
      <c r="G9" s="12">
        <v>100</v>
      </c>
    </row>
    <row r="10" spans="1:7" ht="15" customHeight="1">
      <c r="A10" s="4" t="str">
        <f>"7"</f>
        <v>7</v>
      </c>
      <c r="B10" s="3" t="s">
        <v>45</v>
      </c>
      <c r="C10" s="11">
        <v>164</v>
      </c>
      <c r="D10" s="11">
        <v>163</v>
      </c>
      <c r="E10" s="11">
        <v>1</v>
      </c>
      <c r="F10" s="11">
        <v>0</v>
      </c>
      <c r="G10" s="12">
        <v>99.390243902438996</v>
      </c>
    </row>
    <row r="11" spans="1:7" ht="15" customHeight="1">
      <c r="A11" s="4" t="str">
        <f>"8"</f>
        <v>8</v>
      </c>
      <c r="B11" s="3" t="s">
        <v>46</v>
      </c>
      <c r="C11" s="11">
        <v>2381</v>
      </c>
      <c r="D11" s="11">
        <v>2350</v>
      </c>
      <c r="E11" s="11">
        <v>31</v>
      </c>
      <c r="F11" s="11">
        <v>0</v>
      </c>
      <c r="G11" s="12">
        <v>98.698026039479203</v>
      </c>
    </row>
    <row r="12" spans="1:7" ht="15" customHeight="1">
      <c r="A12" s="4" t="str">
        <f>"9"</f>
        <v>9</v>
      </c>
      <c r="B12" s="3" t="s">
        <v>47</v>
      </c>
      <c r="C12" s="11">
        <v>501</v>
      </c>
      <c r="D12" s="11">
        <v>500</v>
      </c>
      <c r="E12" s="11">
        <v>1</v>
      </c>
      <c r="F12" s="11">
        <v>0</v>
      </c>
      <c r="G12" s="12">
        <v>99.800399201596804</v>
      </c>
    </row>
    <row r="13" spans="1:7" ht="15" customHeight="1">
      <c r="A13" s="4" t="str">
        <f>"10"</f>
        <v>10</v>
      </c>
      <c r="B13" s="3" t="s">
        <v>48</v>
      </c>
      <c r="C13" s="11">
        <v>484</v>
      </c>
      <c r="D13" s="11">
        <v>472</v>
      </c>
      <c r="E13" s="11">
        <v>12</v>
      </c>
      <c r="F13" s="11">
        <v>0</v>
      </c>
      <c r="G13" s="12">
        <v>97.520661157024804</v>
      </c>
    </row>
    <row r="14" spans="1:7" ht="15" customHeight="1">
      <c r="A14" s="4" t="str">
        <f>"11"</f>
        <v>11</v>
      </c>
      <c r="B14" s="3" t="s">
        <v>49</v>
      </c>
      <c r="C14" s="11">
        <v>588</v>
      </c>
      <c r="D14" s="11">
        <v>580</v>
      </c>
      <c r="E14" s="11">
        <v>8</v>
      </c>
      <c r="F14" s="11">
        <v>0</v>
      </c>
      <c r="G14" s="12">
        <v>98.639455782312893</v>
      </c>
    </row>
    <row r="15" spans="1:7" ht="15" customHeight="1">
      <c r="A15" s="4" t="str">
        <f>"12"</f>
        <v>12</v>
      </c>
      <c r="B15" s="3" t="s">
        <v>50</v>
      </c>
      <c r="C15" s="11">
        <v>206</v>
      </c>
      <c r="D15" s="11">
        <v>206</v>
      </c>
      <c r="E15" s="11">
        <v>0</v>
      </c>
      <c r="F15" s="11">
        <v>0</v>
      </c>
      <c r="G15" s="12">
        <v>100</v>
      </c>
    </row>
    <row r="16" spans="1:7" ht="15" customHeight="1">
      <c r="A16" s="4" t="str">
        <f>"13"</f>
        <v>13</v>
      </c>
      <c r="B16" s="3" t="s">
        <v>51</v>
      </c>
      <c r="C16" s="11">
        <v>148</v>
      </c>
      <c r="D16" s="11">
        <v>143</v>
      </c>
      <c r="E16" s="11">
        <v>5</v>
      </c>
      <c r="F16" s="11">
        <v>0</v>
      </c>
      <c r="G16" s="12">
        <v>96.6216216216216</v>
      </c>
    </row>
    <row r="17" spans="1:7" ht="15" customHeight="1">
      <c r="A17" s="4" t="str">
        <f>"14"</f>
        <v>14</v>
      </c>
      <c r="B17" s="3" t="s">
        <v>52</v>
      </c>
      <c r="C17" s="11">
        <v>68</v>
      </c>
      <c r="D17" s="11">
        <v>68</v>
      </c>
      <c r="E17" s="11">
        <v>0</v>
      </c>
      <c r="F17" s="11">
        <v>0</v>
      </c>
      <c r="G17" s="12">
        <v>100</v>
      </c>
    </row>
    <row r="18" spans="1:7" ht="15" customHeight="1">
      <c r="A18" s="4" t="str">
        <f>"15"</f>
        <v>15</v>
      </c>
      <c r="B18" s="3" t="s">
        <v>53</v>
      </c>
      <c r="C18" s="11">
        <v>73</v>
      </c>
      <c r="D18" s="11">
        <v>73</v>
      </c>
      <c r="E18" s="11">
        <v>0</v>
      </c>
      <c r="F18" s="11">
        <v>0</v>
      </c>
      <c r="G18" s="12">
        <v>100</v>
      </c>
    </row>
    <row r="19" spans="1:7" ht="15" customHeight="1">
      <c r="A19" s="4" t="str">
        <f>"16"</f>
        <v>16</v>
      </c>
      <c r="B19" s="3" t="s">
        <v>54</v>
      </c>
      <c r="C19" s="11">
        <v>128</v>
      </c>
      <c r="D19" s="11">
        <v>126</v>
      </c>
      <c r="E19" s="11">
        <v>2</v>
      </c>
      <c r="F19" s="11">
        <v>0</v>
      </c>
      <c r="G19" s="12">
        <v>98.4375</v>
      </c>
    </row>
    <row r="20" spans="1:7" ht="15" customHeight="1">
      <c r="A20" s="4" t="str">
        <f>"17"</f>
        <v>17</v>
      </c>
      <c r="B20" s="3" t="s">
        <v>55</v>
      </c>
      <c r="C20" s="11">
        <v>71</v>
      </c>
      <c r="D20" s="11">
        <v>71</v>
      </c>
      <c r="E20" s="11">
        <v>0</v>
      </c>
      <c r="F20" s="11">
        <v>0</v>
      </c>
      <c r="G20" s="12">
        <v>100</v>
      </c>
    </row>
    <row r="21" spans="1:7" ht="15" customHeight="1">
      <c r="A21" s="4" t="str">
        <f>"18"</f>
        <v>18</v>
      </c>
      <c r="B21" s="3" t="s">
        <v>56</v>
      </c>
      <c r="C21" s="11">
        <v>763</v>
      </c>
      <c r="D21" s="11">
        <v>744</v>
      </c>
      <c r="E21" s="11">
        <v>19</v>
      </c>
      <c r="F21" s="11">
        <v>0</v>
      </c>
      <c r="G21" s="12">
        <v>97.509829619921405</v>
      </c>
    </row>
    <row r="22" spans="1:7" ht="15" customHeight="1">
      <c r="A22" s="4" t="str">
        <f>"19"</f>
        <v>19</v>
      </c>
      <c r="B22" s="3" t="s">
        <v>57</v>
      </c>
      <c r="C22" s="11">
        <v>57</v>
      </c>
      <c r="D22" s="11">
        <v>57</v>
      </c>
      <c r="E22" s="11">
        <v>0</v>
      </c>
      <c r="F22" s="11">
        <v>0</v>
      </c>
      <c r="G22" s="12">
        <v>100</v>
      </c>
    </row>
    <row r="23" spans="1:7" ht="15" customHeight="1">
      <c r="A23" s="4" t="str">
        <f>"20"</f>
        <v>20</v>
      </c>
      <c r="B23" s="3" t="s">
        <v>58</v>
      </c>
      <c r="C23" s="11">
        <v>120</v>
      </c>
      <c r="D23" s="11">
        <v>120</v>
      </c>
      <c r="E23" s="11">
        <v>0</v>
      </c>
      <c r="F23" s="11">
        <v>0</v>
      </c>
      <c r="G23" s="12">
        <v>100</v>
      </c>
    </row>
    <row r="24" spans="1:7" ht="15" customHeight="1">
      <c r="A24" s="4" t="str">
        <f>"21"</f>
        <v>21</v>
      </c>
      <c r="B24" s="3" t="s">
        <v>59</v>
      </c>
      <c r="C24" s="11">
        <v>453</v>
      </c>
      <c r="D24" s="11">
        <v>452</v>
      </c>
      <c r="E24" s="11">
        <v>1</v>
      </c>
      <c r="F24" s="11">
        <v>0</v>
      </c>
      <c r="G24" s="12">
        <v>99.779249448123593</v>
      </c>
    </row>
    <row r="25" spans="1:7" ht="15" customHeight="1">
      <c r="A25" s="4" t="str">
        <f>"22"</f>
        <v>22</v>
      </c>
      <c r="B25" s="3" t="s">
        <v>60</v>
      </c>
      <c r="C25" s="11">
        <v>89</v>
      </c>
      <c r="D25" s="11">
        <v>89</v>
      </c>
      <c r="E25" s="11">
        <v>0</v>
      </c>
      <c r="F25" s="11">
        <v>0</v>
      </c>
      <c r="G25" s="12">
        <v>100</v>
      </c>
    </row>
    <row r="26" spans="1:7" ht="15" customHeight="1">
      <c r="A26" s="4" t="str">
        <f>"23"</f>
        <v>23</v>
      </c>
      <c r="B26" s="3" t="s">
        <v>61</v>
      </c>
      <c r="C26" s="11">
        <v>215</v>
      </c>
      <c r="D26" s="11">
        <v>214</v>
      </c>
      <c r="E26" s="11">
        <v>1</v>
      </c>
      <c r="F26" s="11">
        <v>0</v>
      </c>
      <c r="G26" s="12">
        <v>99.534883720930196</v>
      </c>
    </row>
    <row r="27" spans="1:7" ht="15" customHeight="1">
      <c r="A27" s="4" t="str">
        <f>"24"</f>
        <v>24</v>
      </c>
      <c r="B27" s="3" t="s">
        <v>62</v>
      </c>
      <c r="C27" s="11">
        <v>267</v>
      </c>
      <c r="D27" s="11">
        <v>267</v>
      </c>
      <c r="E27" s="11">
        <v>0</v>
      </c>
      <c r="F27" s="11">
        <v>0</v>
      </c>
      <c r="G27" s="12">
        <v>100</v>
      </c>
    </row>
    <row r="28" spans="1:7" ht="15" customHeight="1">
      <c r="A28" s="4" t="str">
        <f>"25"</f>
        <v>25</v>
      </c>
      <c r="B28" s="3" t="s">
        <v>63</v>
      </c>
      <c r="C28" s="11">
        <v>165</v>
      </c>
      <c r="D28" s="11">
        <v>165</v>
      </c>
      <c r="E28" s="11">
        <v>0</v>
      </c>
      <c r="F28" s="11">
        <v>0</v>
      </c>
      <c r="G28" s="12">
        <v>100</v>
      </c>
    </row>
    <row r="29" spans="1:7" ht="15" customHeight="1">
      <c r="A29" s="4" t="str">
        <f>"26"</f>
        <v>26</v>
      </c>
      <c r="B29" s="3" t="s">
        <v>64</v>
      </c>
      <c r="C29" s="11">
        <v>1633</v>
      </c>
      <c r="D29" s="11">
        <v>1617</v>
      </c>
      <c r="E29" s="11">
        <v>16</v>
      </c>
      <c r="F29" s="11">
        <v>0</v>
      </c>
      <c r="G29" s="12">
        <v>99.020208205756305</v>
      </c>
    </row>
    <row r="30" spans="1:7" ht="15" customHeight="1">
      <c r="A30" s="4" t="str">
        <f>"27"</f>
        <v>27</v>
      </c>
      <c r="B30" s="3" t="s">
        <v>65</v>
      </c>
      <c r="C30" s="11">
        <v>431</v>
      </c>
      <c r="D30" s="11">
        <v>429</v>
      </c>
      <c r="E30" s="11">
        <v>2</v>
      </c>
      <c r="F30" s="11">
        <v>0</v>
      </c>
      <c r="G30" s="12">
        <v>99.535962877030201</v>
      </c>
    </row>
    <row r="31" spans="1:7" ht="15" customHeight="1">
      <c r="A31" s="4" t="str">
        <f>"28"</f>
        <v>28</v>
      </c>
      <c r="B31" s="3" t="s">
        <v>66</v>
      </c>
      <c r="C31" s="11">
        <v>282</v>
      </c>
      <c r="D31" s="11">
        <v>282</v>
      </c>
      <c r="E31" s="11">
        <v>0</v>
      </c>
      <c r="F31" s="11">
        <v>0</v>
      </c>
      <c r="G31" s="12">
        <v>100</v>
      </c>
    </row>
    <row r="32" spans="1:7" ht="18" customHeight="1">
      <c r="A32" s="42" t="s">
        <v>32</v>
      </c>
      <c r="B32" s="43"/>
      <c r="C32" s="13">
        <v>10817</v>
      </c>
      <c r="D32" s="13">
        <v>10708</v>
      </c>
      <c r="E32" s="13">
        <v>109</v>
      </c>
      <c r="F32" s="13">
        <v>0</v>
      </c>
      <c r="G32" s="14">
        <v>98.992326892853796</v>
      </c>
    </row>
  </sheetData>
  <mergeCells count="6">
    <mergeCell ref="G2:G3"/>
    <mergeCell ref="A32:B32"/>
    <mergeCell ref="A2:A3"/>
    <mergeCell ref="B2:B3"/>
    <mergeCell ref="C2:C3"/>
    <mergeCell ref="D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Изварин Антон</dc:creator>
  <cp:lastModifiedBy>отдел стоительства</cp:lastModifiedBy>
  <cp:lastPrinted>2017-07-11T06:11:21Z</cp:lastPrinted>
  <dcterms:created xsi:type="dcterms:W3CDTF">2013-10-22T13:48:50Z</dcterms:created>
  <dcterms:modified xsi:type="dcterms:W3CDTF">2018-08-16T13:45:29Z</dcterms:modified>
</cp:coreProperties>
</file>